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USA\SuppXLS\"/>
    </mc:Choice>
  </mc:AlternateContent>
  <xr:revisionPtr revIDLastSave="0" documentId="13_ncr:1_{374762B3-286A-485B-982B-69EF79A041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acets_prices" sheetId="4" r:id="rId2"/>
    <sheet name="facets_production" sheetId="5" r:id="rId3"/>
    <sheet name="iamc_data" sheetId="2" r:id="rId4"/>
    <sheet name="historical_data" sheetId="3" r:id="rId5"/>
  </sheets>
  <definedNames>
    <definedName name="_xlnm._FilterDatabase" localSheetId="3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C5" i="1"/>
  <c r="I32" i="1" s="1"/>
  <c r="X35" i="1" s="1"/>
  <c r="O146" i="4"/>
  <c r="N146" i="4"/>
  <c r="M146" i="4"/>
  <c r="L146" i="4"/>
  <c r="K146" i="4"/>
  <c r="J146" i="4"/>
  <c r="I146" i="4"/>
  <c r="O145" i="4"/>
  <c r="N145" i="4"/>
  <c r="M145" i="4"/>
  <c r="L145" i="4"/>
  <c r="K145" i="4"/>
  <c r="J145" i="4"/>
  <c r="I145" i="4"/>
  <c r="O144" i="4"/>
  <c r="N144" i="4"/>
  <c r="M144" i="4"/>
  <c r="L144" i="4"/>
  <c r="K144" i="4"/>
  <c r="J144" i="4"/>
  <c r="I144" i="4"/>
  <c r="O143" i="4"/>
  <c r="N143" i="4"/>
  <c r="M143" i="4"/>
  <c r="L143" i="4"/>
  <c r="K143" i="4"/>
  <c r="J143" i="4"/>
  <c r="I143" i="4"/>
  <c r="O142" i="4"/>
  <c r="N142" i="4"/>
  <c r="M142" i="4"/>
  <c r="L142" i="4"/>
  <c r="K142" i="4"/>
  <c r="J142" i="4"/>
  <c r="I142" i="4"/>
  <c r="O141" i="4"/>
  <c r="N141" i="4"/>
  <c r="M141" i="4"/>
  <c r="L141" i="4"/>
  <c r="K141" i="4"/>
  <c r="J141" i="4"/>
  <c r="I141" i="4"/>
  <c r="O140" i="4"/>
  <c r="N140" i="4"/>
  <c r="M140" i="4"/>
  <c r="L140" i="4"/>
  <c r="K140" i="4"/>
  <c r="J140" i="4"/>
  <c r="I140" i="4"/>
  <c r="O139" i="4"/>
  <c r="N139" i="4"/>
  <c r="M139" i="4"/>
  <c r="L139" i="4"/>
  <c r="K139" i="4"/>
  <c r="J139" i="4"/>
  <c r="I139" i="4"/>
  <c r="O138" i="4"/>
  <c r="N138" i="4"/>
  <c r="M138" i="4"/>
  <c r="L138" i="4"/>
  <c r="K138" i="4"/>
  <c r="J138" i="4"/>
  <c r="I138" i="4"/>
  <c r="O137" i="4"/>
  <c r="N137" i="4"/>
  <c r="M137" i="4"/>
  <c r="L137" i="4"/>
  <c r="K137" i="4"/>
  <c r="J137" i="4"/>
  <c r="I137" i="4"/>
  <c r="O136" i="4"/>
  <c r="N136" i="4"/>
  <c r="M136" i="4"/>
  <c r="L136" i="4"/>
  <c r="K136" i="4"/>
  <c r="J136" i="4"/>
  <c r="I136" i="4"/>
  <c r="O135" i="4"/>
  <c r="N135" i="4"/>
  <c r="M135" i="4"/>
  <c r="L135" i="4"/>
  <c r="K135" i="4"/>
  <c r="J135" i="4"/>
  <c r="I135" i="4"/>
  <c r="O134" i="4"/>
  <c r="N134" i="4"/>
  <c r="M134" i="4"/>
  <c r="L134" i="4"/>
  <c r="K134" i="4"/>
  <c r="J134" i="4"/>
  <c r="I134" i="4"/>
  <c r="O133" i="4"/>
  <c r="N133" i="4"/>
  <c r="M133" i="4"/>
  <c r="L133" i="4"/>
  <c r="K133" i="4"/>
  <c r="J133" i="4"/>
  <c r="I133" i="4"/>
  <c r="O132" i="4"/>
  <c r="N132" i="4"/>
  <c r="M132" i="4"/>
  <c r="L132" i="4"/>
  <c r="K132" i="4"/>
  <c r="J132" i="4"/>
  <c r="I132" i="4"/>
  <c r="O131" i="4"/>
  <c r="N131" i="4"/>
  <c r="M131" i="4"/>
  <c r="L131" i="4"/>
  <c r="K131" i="4"/>
  <c r="J131" i="4"/>
  <c r="I131" i="4"/>
  <c r="O130" i="4"/>
  <c r="N130" i="4"/>
  <c r="M130" i="4"/>
  <c r="L130" i="4"/>
  <c r="K130" i="4"/>
  <c r="J130" i="4"/>
  <c r="I130" i="4"/>
  <c r="O129" i="4"/>
  <c r="N129" i="4"/>
  <c r="M129" i="4"/>
  <c r="L129" i="4"/>
  <c r="K129" i="4"/>
  <c r="J129" i="4"/>
  <c r="I129" i="4"/>
  <c r="O128" i="4"/>
  <c r="N128" i="4"/>
  <c r="M128" i="4"/>
  <c r="L128" i="4"/>
  <c r="K128" i="4"/>
  <c r="J128" i="4"/>
  <c r="I128" i="4"/>
  <c r="O127" i="4"/>
  <c r="N127" i="4"/>
  <c r="M127" i="4"/>
  <c r="L127" i="4"/>
  <c r="K127" i="4"/>
  <c r="J127" i="4"/>
  <c r="I127" i="4"/>
  <c r="O126" i="4"/>
  <c r="N126" i="4"/>
  <c r="M126" i="4"/>
  <c r="L126" i="4"/>
  <c r="K126" i="4"/>
  <c r="J126" i="4"/>
  <c r="I126" i="4"/>
  <c r="O125" i="4"/>
  <c r="N125" i="4"/>
  <c r="M125" i="4"/>
  <c r="L125" i="4"/>
  <c r="K125" i="4"/>
  <c r="J125" i="4"/>
  <c r="I125" i="4"/>
  <c r="O124" i="4"/>
  <c r="N124" i="4"/>
  <c r="M124" i="4"/>
  <c r="L124" i="4"/>
  <c r="K124" i="4"/>
  <c r="J124" i="4"/>
  <c r="I124" i="4"/>
  <c r="O123" i="4"/>
  <c r="N123" i="4"/>
  <c r="M123" i="4"/>
  <c r="L123" i="4"/>
  <c r="K123" i="4"/>
  <c r="J123" i="4"/>
  <c r="I123" i="4"/>
  <c r="O122" i="4"/>
  <c r="N122" i="4"/>
  <c r="M122" i="4"/>
  <c r="L122" i="4"/>
  <c r="K122" i="4"/>
  <c r="J122" i="4"/>
  <c r="I122" i="4"/>
  <c r="O121" i="4"/>
  <c r="N121" i="4"/>
  <c r="M121" i="4"/>
  <c r="L121" i="4"/>
  <c r="K121" i="4"/>
  <c r="J121" i="4"/>
  <c r="I121" i="4"/>
  <c r="O120" i="4"/>
  <c r="N120" i="4"/>
  <c r="M120" i="4"/>
  <c r="L120" i="4"/>
  <c r="K120" i="4"/>
  <c r="J120" i="4"/>
  <c r="I120" i="4"/>
  <c r="O119" i="4"/>
  <c r="N119" i="4"/>
  <c r="M119" i="4"/>
  <c r="L119" i="4"/>
  <c r="K119" i="4"/>
  <c r="J119" i="4"/>
  <c r="I119" i="4"/>
  <c r="O118" i="4"/>
  <c r="N118" i="4"/>
  <c r="M118" i="4"/>
  <c r="L118" i="4"/>
  <c r="K118" i="4"/>
  <c r="J118" i="4"/>
  <c r="I118" i="4"/>
  <c r="O117" i="4"/>
  <c r="N117" i="4"/>
  <c r="M117" i="4"/>
  <c r="L117" i="4"/>
  <c r="K117" i="4"/>
  <c r="J117" i="4"/>
  <c r="I117" i="4"/>
  <c r="O116" i="4"/>
  <c r="N116" i="4"/>
  <c r="M116" i="4"/>
  <c r="L116" i="4"/>
  <c r="K116" i="4"/>
  <c r="J116" i="4"/>
  <c r="I116" i="4"/>
  <c r="O115" i="4"/>
  <c r="N115" i="4"/>
  <c r="M115" i="4"/>
  <c r="L115" i="4"/>
  <c r="K115" i="4"/>
  <c r="J115" i="4"/>
  <c r="I115" i="4"/>
  <c r="O114" i="4"/>
  <c r="N114" i="4"/>
  <c r="M114" i="4"/>
  <c r="L114" i="4"/>
  <c r="K114" i="4"/>
  <c r="J114" i="4"/>
  <c r="I114" i="4"/>
  <c r="O113" i="4"/>
  <c r="N113" i="4"/>
  <c r="M113" i="4"/>
  <c r="L113" i="4"/>
  <c r="K113" i="4"/>
  <c r="J113" i="4"/>
  <c r="I113" i="4"/>
  <c r="O112" i="4"/>
  <c r="N112" i="4"/>
  <c r="M112" i="4"/>
  <c r="L112" i="4"/>
  <c r="K112" i="4"/>
  <c r="J112" i="4"/>
  <c r="I112" i="4"/>
  <c r="O111" i="4"/>
  <c r="N111" i="4"/>
  <c r="M111" i="4"/>
  <c r="L111" i="4"/>
  <c r="K111" i="4"/>
  <c r="J111" i="4"/>
  <c r="I111" i="4"/>
  <c r="O110" i="4"/>
  <c r="N110" i="4"/>
  <c r="M110" i="4"/>
  <c r="L110" i="4"/>
  <c r="K110" i="4"/>
  <c r="J110" i="4"/>
  <c r="I110" i="4"/>
  <c r="O109" i="4"/>
  <c r="N109" i="4"/>
  <c r="M109" i="4"/>
  <c r="L109" i="4"/>
  <c r="K109" i="4"/>
  <c r="J109" i="4"/>
  <c r="I109" i="4"/>
  <c r="O108" i="4"/>
  <c r="N108" i="4"/>
  <c r="M108" i="4"/>
  <c r="L108" i="4"/>
  <c r="K108" i="4"/>
  <c r="J108" i="4"/>
  <c r="I108" i="4"/>
  <c r="O107" i="4"/>
  <c r="N107" i="4"/>
  <c r="M107" i="4"/>
  <c r="L107" i="4"/>
  <c r="K107" i="4"/>
  <c r="J107" i="4"/>
  <c r="I107" i="4"/>
  <c r="O106" i="4"/>
  <c r="N106" i="4"/>
  <c r="M106" i="4"/>
  <c r="L106" i="4"/>
  <c r="K106" i="4"/>
  <c r="J106" i="4"/>
  <c r="I106" i="4"/>
  <c r="O105" i="4"/>
  <c r="N105" i="4"/>
  <c r="M105" i="4"/>
  <c r="L105" i="4"/>
  <c r="K105" i="4"/>
  <c r="J105" i="4"/>
  <c r="I105" i="4"/>
  <c r="O104" i="4"/>
  <c r="N104" i="4"/>
  <c r="M104" i="4"/>
  <c r="L104" i="4"/>
  <c r="K104" i="4"/>
  <c r="J104" i="4"/>
  <c r="I104" i="4"/>
  <c r="O103" i="4"/>
  <c r="N103" i="4"/>
  <c r="M103" i="4"/>
  <c r="L103" i="4"/>
  <c r="K103" i="4"/>
  <c r="J103" i="4"/>
  <c r="I103" i="4"/>
  <c r="O102" i="4"/>
  <c r="N102" i="4"/>
  <c r="M102" i="4"/>
  <c r="L102" i="4"/>
  <c r="K102" i="4"/>
  <c r="J102" i="4"/>
  <c r="I102" i="4"/>
  <c r="O101" i="4"/>
  <c r="N101" i="4"/>
  <c r="M101" i="4"/>
  <c r="L101" i="4"/>
  <c r="K101" i="4"/>
  <c r="J101" i="4"/>
  <c r="I101" i="4"/>
  <c r="O100" i="4"/>
  <c r="N100" i="4"/>
  <c r="M100" i="4"/>
  <c r="L100" i="4"/>
  <c r="K100" i="4"/>
  <c r="J100" i="4"/>
  <c r="I100" i="4"/>
  <c r="O99" i="4"/>
  <c r="N99" i="4"/>
  <c r="M99" i="4"/>
  <c r="L99" i="4"/>
  <c r="K99" i="4"/>
  <c r="J99" i="4"/>
  <c r="I99" i="4"/>
  <c r="O98" i="4"/>
  <c r="N98" i="4"/>
  <c r="M98" i="4"/>
  <c r="L98" i="4"/>
  <c r="K98" i="4"/>
  <c r="J98" i="4"/>
  <c r="I98" i="4"/>
  <c r="O97" i="4"/>
  <c r="N97" i="4"/>
  <c r="M97" i="4"/>
  <c r="L97" i="4"/>
  <c r="K97" i="4"/>
  <c r="J97" i="4"/>
  <c r="I97" i="4"/>
  <c r="O96" i="4"/>
  <c r="N96" i="4"/>
  <c r="M96" i="4"/>
  <c r="L96" i="4"/>
  <c r="K96" i="4"/>
  <c r="J96" i="4"/>
  <c r="I96" i="4"/>
  <c r="O95" i="4"/>
  <c r="N95" i="4"/>
  <c r="M95" i="4"/>
  <c r="L95" i="4"/>
  <c r="K95" i="4"/>
  <c r="J95" i="4"/>
  <c r="I95" i="4"/>
  <c r="O94" i="4"/>
  <c r="N94" i="4"/>
  <c r="M94" i="4"/>
  <c r="L94" i="4"/>
  <c r="K94" i="4"/>
  <c r="J94" i="4"/>
  <c r="I94" i="4"/>
  <c r="O93" i="4"/>
  <c r="N93" i="4"/>
  <c r="M93" i="4"/>
  <c r="L93" i="4"/>
  <c r="K93" i="4"/>
  <c r="J93" i="4"/>
  <c r="I93" i="4"/>
  <c r="O92" i="4"/>
  <c r="N92" i="4"/>
  <c r="M92" i="4"/>
  <c r="L92" i="4"/>
  <c r="K92" i="4"/>
  <c r="J92" i="4"/>
  <c r="I92" i="4"/>
  <c r="O91" i="4"/>
  <c r="N91" i="4"/>
  <c r="M91" i="4"/>
  <c r="L91" i="4"/>
  <c r="K91" i="4"/>
  <c r="J91" i="4"/>
  <c r="I91" i="4"/>
  <c r="O90" i="4"/>
  <c r="N90" i="4"/>
  <c r="M90" i="4"/>
  <c r="L90" i="4"/>
  <c r="K90" i="4"/>
  <c r="J90" i="4"/>
  <c r="I90" i="4"/>
  <c r="O89" i="4"/>
  <c r="N89" i="4"/>
  <c r="M89" i="4"/>
  <c r="L89" i="4"/>
  <c r="K89" i="4"/>
  <c r="J89" i="4"/>
  <c r="I89" i="4"/>
  <c r="O88" i="4"/>
  <c r="N88" i="4"/>
  <c r="M88" i="4"/>
  <c r="L88" i="4"/>
  <c r="K88" i="4"/>
  <c r="J88" i="4"/>
  <c r="I88" i="4"/>
  <c r="O87" i="4"/>
  <c r="N87" i="4"/>
  <c r="M87" i="4"/>
  <c r="L87" i="4"/>
  <c r="K87" i="4"/>
  <c r="J87" i="4"/>
  <c r="I87" i="4"/>
  <c r="O86" i="4"/>
  <c r="N86" i="4"/>
  <c r="M86" i="4"/>
  <c r="L86" i="4"/>
  <c r="K86" i="4"/>
  <c r="J86" i="4"/>
  <c r="I86" i="4"/>
  <c r="O85" i="4"/>
  <c r="N85" i="4"/>
  <c r="M85" i="4"/>
  <c r="L85" i="4"/>
  <c r="K85" i="4"/>
  <c r="J85" i="4"/>
  <c r="I85" i="4"/>
  <c r="O84" i="4"/>
  <c r="N84" i="4"/>
  <c r="M84" i="4"/>
  <c r="L84" i="4"/>
  <c r="K84" i="4"/>
  <c r="J84" i="4"/>
  <c r="I84" i="4"/>
  <c r="O83" i="4"/>
  <c r="N83" i="4"/>
  <c r="M83" i="4"/>
  <c r="L83" i="4"/>
  <c r="K83" i="4"/>
  <c r="J83" i="4"/>
  <c r="I83" i="4"/>
  <c r="O82" i="4"/>
  <c r="N82" i="4"/>
  <c r="M82" i="4"/>
  <c r="L82" i="4"/>
  <c r="K82" i="4"/>
  <c r="J82" i="4"/>
  <c r="I82" i="4"/>
  <c r="O81" i="4"/>
  <c r="N81" i="4"/>
  <c r="M81" i="4"/>
  <c r="L81" i="4"/>
  <c r="K81" i="4"/>
  <c r="J81" i="4"/>
  <c r="I81" i="4"/>
  <c r="O80" i="4"/>
  <c r="N80" i="4"/>
  <c r="M80" i="4"/>
  <c r="L80" i="4"/>
  <c r="K80" i="4"/>
  <c r="J80" i="4"/>
  <c r="I80" i="4"/>
  <c r="O79" i="4"/>
  <c r="N79" i="4"/>
  <c r="M79" i="4"/>
  <c r="L79" i="4"/>
  <c r="K79" i="4"/>
  <c r="J79" i="4"/>
  <c r="I79" i="4"/>
  <c r="O78" i="4"/>
  <c r="N78" i="4"/>
  <c r="M78" i="4"/>
  <c r="L78" i="4"/>
  <c r="K78" i="4"/>
  <c r="J78" i="4"/>
  <c r="I78" i="4"/>
  <c r="O77" i="4"/>
  <c r="N77" i="4"/>
  <c r="M77" i="4"/>
  <c r="L77" i="4"/>
  <c r="K77" i="4"/>
  <c r="J77" i="4"/>
  <c r="I77" i="4"/>
  <c r="O76" i="4"/>
  <c r="N76" i="4"/>
  <c r="M76" i="4"/>
  <c r="L76" i="4"/>
  <c r="K76" i="4"/>
  <c r="J76" i="4"/>
  <c r="I76" i="4"/>
  <c r="O75" i="4"/>
  <c r="N75" i="4"/>
  <c r="M75" i="4"/>
  <c r="L75" i="4"/>
  <c r="K75" i="4"/>
  <c r="J75" i="4"/>
  <c r="I75" i="4"/>
  <c r="O74" i="4"/>
  <c r="N74" i="4"/>
  <c r="M74" i="4"/>
  <c r="L74" i="4"/>
  <c r="K74" i="4"/>
  <c r="J74" i="4"/>
  <c r="I74" i="4"/>
  <c r="O73" i="4"/>
  <c r="N73" i="4"/>
  <c r="M73" i="4"/>
  <c r="L73" i="4"/>
  <c r="K73" i="4"/>
  <c r="J73" i="4"/>
  <c r="I73" i="4"/>
  <c r="O72" i="4"/>
  <c r="N72" i="4"/>
  <c r="M72" i="4"/>
  <c r="L72" i="4"/>
  <c r="K72" i="4"/>
  <c r="J72" i="4"/>
  <c r="I72" i="4"/>
  <c r="O71" i="4"/>
  <c r="N71" i="4"/>
  <c r="M71" i="4"/>
  <c r="L71" i="4"/>
  <c r="K71" i="4"/>
  <c r="J71" i="4"/>
  <c r="I71" i="4"/>
  <c r="O70" i="4"/>
  <c r="N70" i="4"/>
  <c r="M70" i="4"/>
  <c r="L70" i="4"/>
  <c r="K70" i="4"/>
  <c r="J70" i="4"/>
  <c r="I70" i="4"/>
  <c r="O69" i="4"/>
  <c r="N69" i="4"/>
  <c r="M69" i="4"/>
  <c r="L69" i="4"/>
  <c r="K69" i="4"/>
  <c r="J69" i="4"/>
  <c r="I69" i="4"/>
  <c r="O68" i="4"/>
  <c r="N68" i="4"/>
  <c r="M68" i="4"/>
  <c r="L68" i="4"/>
  <c r="K68" i="4"/>
  <c r="J68" i="4"/>
  <c r="I68" i="4"/>
  <c r="O67" i="4"/>
  <c r="N67" i="4"/>
  <c r="M67" i="4"/>
  <c r="L67" i="4"/>
  <c r="K67" i="4"/>
  <c r="J67" i="4"/>
  <c r="I67" i="4"/>
  <c r="O66" i="4"/>
  <c r="N66" i="4"/>
  <c r="M66" i="4"/>
  <c r="L66" i="4"/>
  <c r="K66" i="4"/>
  <c r="J66" i="4"/>
  <c r="I66" i="4"/>
  <c r="O65" i="4"/>
  <c r="N65" i="4"/>
  <c r="M65" i="4"/>
  <c r="L65" i="4"/>
  <c r="K65" i="4"/>
  <c r="J65" i="4"/>
  <c r="I65" i="4"/>
  <c r="O64" i="4"/>
  <c r="N64" i="4"/>
  <c r="M64" i="4"/>
  <c r="L64" i="4"/>
  <c r="K64" i="4"/>
  <c r="J64" i="4"/>
  <c r="I64" i="4"/>
  <c r="O63" i="4"/>
  <c r="N63" i="4"/>
  <c r="M63" i="4"/>
  <c r="L63" i="4"/>
  <c r="K63" i="4"/>
  <c r="J63" i="4"/>
  <c r="I63" i="4"/>
  <c r="O62" i="4"/>
  <c r="N62" i="4"/>
  <c r="M62" i="4"/>
  <c r="L62" i="4"/>
  <c r="K62" i="4"/>
  <c r="J62" i="4"/>
  <c r="I62" i="4"/>
  <c r="O61" i="4"/>
  <c r="N61" i="4"/>
  <c r="M61" i="4"/>
  <c r="L61" i="4"/>
  <c r="K61" i="4"/>
  <c r="J61" i="4"/>
  <c r="I61" i="4"/>
  <c r="O60" i="4"/>
  <c r="N60" i="4"/>
  <c r="M60" i="4"/>
  <c r="L60" i="4"/>
  <c r="K60" i="4"/>
  <c r="J60" i="4"/>
  <c r="I60" i="4"/>
  <c r="O59" i="4"/>
  <c r="N59" i="4"/>
  <c r="M59" i="4"/>
  <c r="L59" i="4"/>
  <c r="K59" i="4"/>
  <c r="J59" i="4"/>
  <c r="I59" i="4"/>
  <c r="O58" i="4"/>
  <c r="N58" i="4"/>
  <c r="M58" i="4"/>
  <c r="L58" i="4"/>
  <c r="K58" i="4"/>
  <c r="J58" i="4"/>
  <c r="I58" i="4"/>
  <c r="O57" i="4"/>
  <c r="N57" i="4"/>
  <c r="M57" i="4"/>
  <c r="L57" i="4"/>
  <c r="K57" i="4"/>
  <c r="J57" i="4"/>
  <c r="I57" i="4"/>
  <c r="O56" i="4"/>
  <c r="N56" i="4"/>
  <c r="M56" i="4"/>
  <c r="L56" i="4"/>
  <c r="K56" i="4"/>
  <c r="J56" i="4"/>
  <c r="I56" i="4"/>
  <c r="O55" i="4"/>
  <c r="N55" i="4"/>
  <c r="M55" i="4"/>
  <c r="L55" i="4"/>
  <c r="K55" i="4"/>
  <c r="J55" i="4"/>
  <c r="I55" i="4"/>
  <c r="O54" i="4"/>
  <c r="N54" i="4"/>
  <c r="M54" i="4"/>
  <c r="L54" i="4"/>
  <c r="K54" i="4"/>
  <c r="J54" i="4"/>
  <c r="I54" i="4"/>
  <c r="O53" i="4"/>
  <c r="N53" i="4"/>
  <c r="M53" i="4"/>
  <c r="L53" i="4"/>
  <c r="K53" i="4"/>
  <c r="J53" i="4"/>
  <c r="I53" i="4"/>
  <c r="O52" i="4"/>
  <c r="N52" i="4"/>
  <c r="M52" i="4"/>
  <c r="L52" i="4"/>
  <c r="K52" i="4"/>
  <c r="J52" i="4"/>
  <c r="I52" i="4"/>
  <c r="O51" i="4"/>
  <c r="N51" i="4"/>
  <c r="M51" i="4"/>
  <c r="L51" i="4"/>
  <c r="K51" i="4"/>
  <c r="J51" i="4"/>
  <c r="I51" i="4"/>
  <c r="O50" i="4"/>
  <c r="N50" i="4"/>
  <c r="M50" i="4"/>
  <c r="L50" i="4"/>
  <c r="K50" i="4"/>
  <c r="J50" i="4"/>
  <c r="I50" i="4"/>
  <c r="O49" i="4"/>
  <c r="N49" i="4"/>
  <c r="M49" i="4"/>
  <c r="L49" i="4"/>
  <c r="K49" i="4"/>
  <c r="J49" i="4"/>
  <c r="I49" i="4"/>
  <c r="O48" i="4"/>
  <c r="N48" i="4"/>
  <c r="M48" i="4"/>
  <c r="L48" i="4"/>
  <c r="K48" i="4"/>
  <c r="J48" i="4"/>
  <c r="I48" i="4"/>
  <c r="O47" i="4"/>
  <c r="N47" i="4"/>
  <c r="M47" i="4"/>
  <c r="L47" i="4"/>
  <c r="K47" i="4"/>
  <c r="J47" i="4"/>
  <c r="I47" i="4"/>
  <c r="O46" i="4"/>
  <c r="N46" i="4"/>
  <c r="M46" i="4"/>
  <c r="L46" i="4"/>
  <c r="K46" i="4"/>
  <c r="J46" i="4"/>
  <c r="I46" i="4"/>
  <c r="O45" i="4"/>
  <c r="N45" i="4"/>
  <c r="M45" i="4"/>
  <c r="L45" i="4"/>
  <c r="K45" i="4"/>
  <c r="J45" i="4"/>
  <c r="I45" i="4"/>
  <c r="O44" i="4"/>
  <c r="N44" i="4"/>
  <c r="M44" i="4"/>
  <c r="L44" i="4"/>
  <c r="K44" i="4"/>
  <c r="J44" i="4"/>
  <c r="I44" i="4"/>
  <c r="O43" i="4"/>
  <c r="N43" i="4"/>
  <c r="M43" i="4"/>
  <c r="L43" i="4"/>
  <c r="K43" i="4"/>
  <c r="J43" i="4"/>
  <c r="I43" i="4"/>
  <c r="O42" i="4"/>
  <c r="N42" i="4"/>
  <c r="M42" i="4"/>
  <c r="L42" i="4"/>
  <c r="K42" i="4"/>
  <c r="J42" i="4"/>
  <c r="I42" i="4"/>
  <c r="O41" i="4"/>
  <c r="N41" i="4"/>
  <c r="M41" i="4"/>
  <c r="L41" i="4"/>
  <c r="K41" i="4"/>
  <c r="J41" i="4"/>
  <c r="I41" i="4"/>
  <c r="O40" i="4"/>
  <c r="N40" i="4"/>
  <c r="M40" i="4"/>
  <c r="L40" i="4"/>
  <c r="K40" i="4"/>
  <c r="J40" i="4"/>
  <c r="I40" i="4"/>
  <c r="O39" i="4"/>
  <c r="N39" i="4"/>
  <c r="M39" i="4"/>
  <c r="L39" i="4"/>
  <c r="K39" i="4"/>
  <c r="J39" i="4"/>
  <c r="I39" i="4"/>
  <c r="O38" i="4"/>
  <c r="N38" i="4"/>
  <c r="M38" i="4"/>
  <c r="L38" i="4"/>
  <c r="K38" i="4"/>
  <c r="J38" i="4"/>
  <c r="I38" i="4"/>
  <c r="O37" i="4"/>
  <c r="N37" i="4"/>
  <c r="M37" i="4"/>
  <c r="L37" i="4"/>
  <c r="K37" i="4"/>
  <c r="J37" i="4"/>
  <c r="I37" i="4"/>
  <c r="O36" i="4"/>
  <c r="N36" i="4"/>
  <c r="M36" i="4"/>
  <c r="L36" i="4"/>
  <c r="K36" i="4"/>
  <c r="J36" i="4"/>
  <c r="I36" i="4"/>
  <c r="O35" i="4"/>
  <c r="N35" i="4"/>
  <c r="M35" i="4"/>
  <c r="L35" i="4"/>
  <c r="K35" i="4"/>
  <c r="J35" i="4"/>
  <c r="I35" i="4"/>
  <c r="O34" i="4"/>
  <c r="N34" i="4"/>
  <c r="M34" i="4"/>
  <c r="L34" i="4"/>
  <c r="K34" i="4"/>
  <c r="J34" i="4"/>
  <c r="I34" i="4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M15" i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C31" i="1" l="1"/>
  <c r="R34" i="1" s="1"/>
  <c r="D31" i="1"/>
  <c r="S34" i="1" s="1"/>
  <c r="E31" i="1"/>
  <c r="T34" i="1" s="1"/>
  <c r="G31" i="1"/>
  <c r="V34" i="1" s="1"/>
  <c r="F31" i="1"/>
  <c r="U34" i="1" s="1"/>
  <c r="H31" i="1"/>
  <c r="W34" i="1" s="1"/>
  <c r="I31" i="1"/>
  <c r="X34" i="1" s="1"/>
  <c r="C32" i="1"/>
  <c r="R35" i="1" s="1"/>
  <c r="G32" i="1"/>
  <c r="V35" i="1" s="1"/>
  <c r="H32" i="1"/>
  <c r="W35" i="1" s="1"/>
  <c r="D32" i="1"/>
  <c r="S35" i="1" s="1"/>
  <c r="E32" i="1"/>
  <c r="T35" i="1" s="1"/>
  <c r="F32" i="1"/>
  <c r="U35" i="1" s="1"/>
  <c r="Q10" i="1"/>
  <c r="G15" i="1"/>
  <c r="I30" i="1" l="1"/>
  <c r="H30" i="1"/>
  <c r="G30" i="1"/>
  <c r="F30" i="1"/>
  <c r="E30" i="1"/>
  <c r="C30" i="1"/>
  <c r="D30" i="1"/>
  <c r="M21" i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S32" i="1" l="1"/>
  <c r="S38" i="1"/>
  <c r="S31" i="1" s="1"/>
  <c r="S30" i="1"/>
  <c r="T32" i="1"/>
  <c r="T33" i="1" s="1"/>
  <c r="T38" i="1"/>
  <c r="T31" i="1" s="1"/>
  <c r="T30" i="1"/>
  <c r="U32" i="1"/>
  <c r="U33" i="1" s="1"/>
  <c r="U38" i="1"/>
  <c r="U30" i="1"/>
  <c r="V38" i="1"/>
  <c r="V30" i="1"/>
  <c r="V32" i="1"/>
  <c r="V33" i="1" s="1"/>
  <c r="R32" i="1"/>
  <c r="R38" i="1"/>
  <c r="R31" i="1" s="1"/>
  <c r="R30" i="1"/>
  <c r="W38" i="1"/>
  <c r="W30" i="1"/>
  <c r="W32" i="1"/>
  <c r="W33" i="1" s="1"/>
  <c r="X32" i="1"/>
  <c r="X33" i="1" s="1"/>
  <c r="X38" i="1"/>
  <c r="X31" i="1" s="1"/>
  <c r="X30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U31" i="1" l="1"/>
  <c r="W31" i="1"/>
  <c r="V31" i="1"/>
  <c r="R19" i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<sst xmlns="http://schemas.openxmlformats.org/spreadsheetml/2006/main" count="20007" uniqueCount="428">
  <si>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</si>
  <si>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</si>
  <si>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</si>
  <si>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</si>
  <si>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</si>
  <si>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</si>
  <si>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</si>
  <si>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</si>
  <si>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</si>
  <si>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</si>
  <si>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</si>
  <si>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</si>
  <si>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</si>
  <si>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</si>
  <si>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</si>
  <si>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</si>
  <si>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</si>
  <si>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</si>
  <si>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</si>
  <si>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</si>
  <si>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</si>
  <si>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</si>
  <si>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</si>
  <si>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</si>
  <si>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</si>
  <si>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</si>
  <si>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</si>
  <si>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</si>
  <si>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</si>
  <si>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</si>
  <si>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</si>
  <si>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</si>
  <si>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</si>
  <si>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</si>
  <si>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</si>
  <si>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</si>
  <si>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</si>
  <si>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</si>
  <si>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</si>
  <si>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</si>
  <si>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</si>
  <si>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</si>
  <si>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</si>
  <si>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</si>
  <si>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</si>
  <si>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</si>
  <si>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</si>
  <si>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</si>
  <si>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</si>
  <si>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</si>
  <si>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</si>
  <si>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</si>
  <si>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</si>
  <si>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</si>
  <si>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</si>
  <si>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</si>
  <si>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</si>
  <si>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</si>
  <si>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</si>
  <si>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</si>
  <si>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</si>
  <si>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</si>
  <si>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</si>
  <si>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</si>
  <si>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</si>
  <si>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</si>
  <si>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</si>
  <si>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</si>
  <si>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</si>
  <si>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</si>
  <si>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</si>
  <si>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</si>
  <si>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</si>
  <si>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</si>
  <si>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</si>
  <si>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</si>
  <si>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</si>
  <si>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</si>
  <si>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</si>
  <si>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</si>
  <si>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</si>
  <si>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</si>
  <si>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</si>
  <si>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</si>
  <si>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</si>
  <si>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</si>
  <si>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</si>
  <si>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</si>
  <si>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</si>
  <si>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</si>
  <si>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</si>
  <si>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</si>
  <si>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</si>
  <si>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</si>
  <si>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</si>
  <si>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</si>
  <si>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</si>
  <si>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</si>
  <si>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</si>
  <si>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</si>
  <si>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</si>
  <si>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</si>
  <si>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</si>
  <si>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</si>
  <si>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</si>
  <si>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</si>
  <si>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</si>
  <si>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</si>
  <si>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</si>
  <si>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</si>
  <si>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</si>
  <si>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</si>
  <si>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</si>
  <si>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</si>
  <si>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</si>
  <si>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</si>
  <si>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</si>
  <si>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</si>
  <si>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</si>
  <si>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</si>
  <si>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</si>
  <si>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</si>
  <si>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</si>
  <si>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</si>
  <si>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</si>
  <si>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</si>
  <si>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</si>
  <si>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</si>
  <si>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</si>
  <si>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</si>
  <si>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</si>
  <si>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</si>
  <si>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</si>
  <si>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</si>
  <si>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</si>
  <si>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</si>
  <si>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</si>
  <si>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</si>
  <si>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</si>
  <si>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</si>
  <si>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</si>
  <si>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</si>
  <si>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</si>
  <si>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</si>
  <si>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</si>
  <si>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</si>
  <si>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</si>
  <si>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</si>
  <si>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</si>
  <si>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</si>
  <si>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</si>
  <si>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</si>
  <si>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</si>
  <si>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</si>
  <si>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</si>
  <si>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</si>
  <si>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</si>
  <si>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</si>
  <si>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</si>
  <si>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</si>
  <si>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</si>
  <si>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</si>
  <si>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</si>
  <si>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</si>
  <si>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</si>
  <si>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</si>
  <si>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</si>
  <si>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</si>
  <si>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</si>
  <si>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</si>
  <si>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</si>
  <si>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</si>
  <si>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</si>
  <si>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</si>
  <si>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</si>
  <si>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</si>
  <si>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</si>
  <si>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</si>
  <si>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</si>
  <si>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</si>
  <si>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</si>
  <si>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</si>
  <si>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</si>
  <si>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</si>
  <si>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</si>
  <si>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</si>
  <si>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</si>
  <si>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</si>
  <si>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</si>
  <si>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</si>
  <si>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</si>
  <si>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</si>
  <si>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</si>
  <si>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</si>
  <si>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</si>
  <si>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</si>
  <si>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</si>
  <si>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</si>
  <si>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</si>
  <si>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</si>
  <si>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</si>
  <si>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</si>
  <si>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</si>
  <si>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</si>
  <si>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</si>
  <si>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</si>
  <si>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</si>
  <si>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</si>
  <si>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</si>
  <si>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</si>
  <si>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</si>
  <si>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</si>
  <si>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</si>
  <si>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</si>
  <si>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</si>
  <si>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</si>
  <si>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</si>
  <si>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</si>
  <si>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</si>
  <si>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</si>
  <si>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</si>
  <si>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</si>
  <si>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</si>
  <si>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</si>
  <si>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</si>
  <si>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</si>
  <si>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</si>
  <si>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</si>
  <si>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</si>
  <si>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</si>
  <si>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</si>
  <si>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</si>
  <si>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</si>
  <si>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</si>
  <si>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</si>
  <si>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</si>
  <si>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</si>
  <si>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</si>
  <si>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</si>
  <si>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</si>
  <si>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</si>
  <si>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</si>
  <si>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</si>
  <si>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</si>
  <si>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</si>
  <si>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</si>
  <si>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</si>
  <si>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</si>
  <si>
    <t>*</t>
  </si>
  <si>
    <t>com_taxnet</t>
  </si>
  <si>
    <t/>
  </si>
  <si>
    <t>scen</t>
  </si>
  <si>
    <t>gp-I.re-H.Pol-IRA.Cp-00.ncs-H.smr-H</t>
  </si>
  <si>
    <t>gp-I.re-H.Pol-IRA.Cp-00.ncs-H.smr-I</t>
  </si>
  <si>
    <t>gp-I.re-H.Pol-IRA.Cp-00.ncs-H.smr-L</t>
  </si>
  <si>
    <t>gp-I.re-H.Pol-IRA.Cp-00.ncs-I.smr-H</t>
  </si>
  <si>
    <t>gp-I.re-H.Pol-IRA.Cp-00.ncs-I.smr-I</t>
  </si>
  <si>
    <t>gp-I.re-H.Pol-IRA.Cp-00.ncs-I.smr-L</t>
  </si>
  <si>
    <t>gp-I.re-H.Pol-IRA.Cp-00.ncs-L.smr-H</t>
  </si>
  <si>
    <t>gp-I.re-H.Pol-IRA.Cp-00.ncs-L.smr-I</t>
  </si>
  <si>
    <t>gp-I.re-H.Pol-IRA.Cp-00.ncs-L.smr-L</t>
  </si>
  <si>
    <t>gp-I.re-H.Pol-IRA.Cp-95.ncs-H.smr-H</t>
  </si>
  <si>
    <t>gp-I.re-H.Pol-IRA.Cp-95.ncs-H.smr-I</t>
  </si>
  <si>
    <t>gp-I.re-H.Pol-IRA.Cp-95.ncs-H.smr-L</t>
  </si>
  <si>
    <t>gp-I.re-H.Pol-IRA.Cp-95.ncs-I.smr-H</t>
  </si>
  <si>
    <t>gp-I.re-H.Pol-IRA.Cp-95.ncs-I.smr-I</t>
  </si>
  <si>
    <t>gp-I.re-H.Pol-IRA.Cp-95.ncs-I.smr-L</t>
  </si>
  <si>
    <t>gp-I.re-H.Pol-IRA.Cp-95.ncs-L.smr-H</t>
  </si>
  <si>
    <t>gp-I.re-H.Pol-IRA.Cp-95.ncs-L.smr-I</t>
  </si>
  <si>
    <t>gp-I.re-H.Pol-IRA.Cp-95.ncs-L.smr-L</t>
  </si>
  <si>
    <t>gp-I.re-H.Pol-Part.Cp-00.ncs-H.smr-H</t>
  </si>
  <si>
    <t>gp-I.re-H.Pol-Part.Cp-00.ncs-H.smr-I</t>
  </si>
  <si>
    <t>gp-I.re-H.Pol-Part.Cp-00.ncs-H.smr-L</t>
  </si>
  <si>
    <t>gp-I.re-H.Pol-Part.Cp-00.ncs-I.smr-H</t>
  </si>
  <si>
    <t>gp-I.re-H.Pol-Part.Cp-00.ncs-I.smr-I</t>
  </si>
  <si>
    <t>gp-I.re-H.Pol-Part.Cp-00.ncs-I.smr-L</t>
  </si>
  <si>
    <t>gp-I.re-H.Pol-Part.Cp-00.ncs-L.smr-H</t>
  </si>
  <si>
    <t>gp-I.re-H.Pol-Part.Cp-00.ncs-L.smr-I</t>
  </si>
  <si>
    <t>gp-I.re-H.Pol-Part.Cp-00.ncs-L.smr-L</t>
  </si>
  <si>
    <t>gp-I.re-H.Pol-Part.Cp-95.ncs-H.smr-H</t>
  </si>
  <si>
    <t>gp-I.re-H.Pol-Part.Cp-95.ncs-H.smr-I</t>
  </si>
  <si>
    <t>gp-I.re-H.Pol-Part.Cp-95.ncs-H.smr-L</t>
  </si>
  <si>
    <t>gp-I.re-H.Pol-Part.Cp-95.ncs-I.smr-H</t>
  </si>
  <si>
    <t>gp-I.re-H.Pol-Part.Cp-95.ncs-I.smr-I</t>
  </si>
  <si>
    <t>gp-I.re-H.Pol-Part.Cp-95.ncs-I.smr-L</t>
  </si>
  <si>
    <t>gp-I.re-H.Pol-Part.Cp-95.ncs-L.smr-H</t>
  </si>
  <si>
    <t>gp-I.re-H.Pol-Part.Cp-95.ncs-L.smr-I</t>
  </si>
  <si>
    <t>gp-I.re-H.Pol-Part.Cp-95.ncs-L.smr-L</t>
  </si>
  <si>
    <t>gp-I.re-L.Pol-IRA.Cp-00.ncs-H.smr-H</t>
  </si>
  <si>
    <t>gp-I.re-L.Pol-IRA.Cp-00.ncs-H.smr-I</t>
  </si>
  <si>
    <t>gp-I.re-L.Pol-IRA.Cp-00.ncs-H.smr-L</t>
  </si>
  <si>
    <t>gp-I.re-L.Pol-IRA.Cp-00.ncs-I.smr-H</t>
  </si>
  <si>
    <t>gp-I.re-L.Pol-IRA.Cp-00.ncs-I.smr-I</t>
  </si>
  <si>
    <t>gp-I.re-L.Pol-IRA.Cp-00.ncs-I.smr-L</t>
  </si>
  <si>
    <t>gp-I.re-L.Pol-IRA.Cp-00.ncs-L.smr-H</t>
  </si>
  <si>
    <t>gp-I.re-L.Pol-IRA.Cp-00.ncs-L.smr-I</t>
  </si>
  <si>
    <t>gp-I.re-L.Pol-IRA.Cp-00.ncs-L.smr-L</t>
  </si>
  <si>
    <t>gp-I.re-L.Pol-IRA.Cp-95.ncs-H.smr-H</t>
  </si>
  <si>
    <t>gp-I.re-L.Pol-IRA.Cp-95.ncs-H.smr-I</t>
  </si>
  <si>
    <t>gp-I.re-L.Pol-IRA.Cp-95.ncs-H.smr-L</t>
  </si>
  <si>
    <t>gp-I.re-L.Pol-IRA.Cp-95.ncs-I.smr-H</t>
  </si>
  <si>
    <t>gp-I.re-L.Pol-IRA.Cp-95.ncs-I.smr-I</t>
  </si>
  <si>
    <t>gp-I.re-L.Pol-IRA.Cp-95.ncs-I.smr-L</t>
  </si>
  <si>
    <t>gp-I.re-L.Pol-IRA.Cp-95.ncs-L.smr-H</t>
  </si>
  <si>
    <t>gp-I.re-L.Pol-IRA.Cp-95.ncs-L.smr-I</t>
  </si>
  <si>
    <t>gp-I.re-L.Pol-IRA.Cp-95.ncs-L.smr-L</t>
  </si>
  <si>
    <t>gp-I.re-L.Pol-Part.Cp-00.ncs-H.smr-H</t>
  </si>
  <si>
    <t>gp-I.re-L.Pol-Part.Cp-00.ncs-H.smr-I</t>
  </si>
  <si>
    <t>gp-I.re-L.Pol-Part.Cp-00.ncs-H.smr-L</t>
  </si>
  <si>
    <t>gp-I.re-L.Pol-Part.Cp-00.ncs-I.smr-H</t>
  </si>
  <si>
    <t>gp-I.re-L.Pol-Part.Cp-00.ncs-I.smr-I</t>
  </si>
  <si>
    <t>gp-I.re-L.Pol-Part.Cp-00.ncs-I.smr-L</t>
  </si>
  <si>
    <t>gp-I.re-L.Pol-Part.Cp-00.ncs-L.smr-H</t>
  </si>
  <si>
    <t>gp-I.re-L.Pol-Part.Cp-00.ncs-L.smr-I</t>
  </si>
  <si>
    <t>gp-I.re-L.Pol-Part.Cp-00.ncs-L.smr-L</t>
  </si>
  <si>
    <t>gp-I.re-L.Pol-Part.Cp-95.ncs-H.smr-H</t>
  </si>
  <si>
    <t>gp-I.re-L.Pol-Part.Cp-95.ncs-H.smr-I</t>
  </si>
  <si>
    <t>gp-I.re-L.Pol-Part.Cp-95.ncs-H.smr-L</t>
  </si>
  <si>
    <t>gp-I.re-L.Pol-Part.Cp-95.ncs-I.smr-H</t>
  </si>
  <si>
    <t>gp-I.re-L.Pol-Part.Cp-95.ncs-I.smr-I</t>
  </si>
  <si>
    <t>gp-I.re-L.Pol-Part.Cp-95.ncs-I.smr-L</t>
  </si>
  <si>
    <t>gp-I.re-L.Pol-Part.Cp-95.ncs-L.smr-H</t>
  </si>
  <si>
    <t>gp-I.re-L.Pol-Part.Cp-95.ncs-L.smr-I</t>
  </si>
  <si>
    <t>gp-I.re-L.Pol-Part.Cp-95.ncs-L.smr-L</t>
  </si>
  <si>
    <t>gp-L.re-H.Pol-IRA.Cp-00.ncs-H.smr-H</t>
  </si>
  <si>
    <t>gp-L.re-H.Pol-IRA.Cp-00.ncs-H.smr-I</t>
  </si>
  <si>
    <t>gp-L.re-H.Pol-IRA.Cp-00.ncs-H.smr-L</t>
  </si>
  <si>
    <t>gp-L.re-H.Pol-IRA.Cp-00.ncs-I.smr-H</t>
  </si>
  <si>
    <t>gp-L.re-H.Pol-IRA.Cp-00.ncs-I.smr-I</t>
  </si>
  <si>
    <t>gp-L.re-H.Pol-IRA.Cp-00.ncs-I.smr-L</t>
  </si>
  <si>
    <t>gp-L.re-H.Pol-IRA.Cp-00.ncs-L.smr-H</t>
  </si>
  <si>
    <t>gp-L.re-H.Pol-IRA.Cp-00.ncs-L.smr-I</t>
  </si>
  <si>
    <t>gp-L.re-H.Pol-IRA.Cp-00.ncs-L.smr-L</t>
  </si>
  <si>
    <t>gp-L.re-H.Pol-IRA.Cp-95.ncs-H.smr-H</t>
  </si>
  <si>
    <t>gp-L.re-H.Pol-IRA.Cp-95.ncs-H.smr-I</t>
  </si>
  <si>
    <t>gp-L.re-H.Pol-IRA.Cp-95.ncs-H.smr-L</t>
  </si>
  <si>
    <t>gp-L.re-H.Pol-IRA.Cp-95.ncs-I.smr-H</t>
  </si>
  <si>
    <t>gp-L.re-H.Pol-IRA.Cp-95.ncs-I.smr-I</t>
  </si>
  <si>
    <t>gp-L.re-H.Pol-IRA.Cp-95.ncs-I.smr-L</t>
  </si>
  <si>
    <t>gp-L.re-H.Pol-IRA.Cp-95.ncs-L.smr-H</t>
  </si>
  <si>
    <t>gp-L.re-H.Pol-IRA.Cp-95.ncs-L.smr-I</t>
  </si>
  <si>
    <t>gp-L.re-H.Pol-IRA.Cp-95.ncs-L.smr-L</t>
  </si>
  <si>
    <t>gp-L.re-H.Pol-Part.Cp-00.ncs-H.smr-H</t>
  </si>
  <si>
    <t>gp-L.re-H.Pol-Part.Cp-00.ncs-H.smr-I</t>
  </si>
  <si>
    <t>gp-L.re-H.Pol-Part.Cp-00.ncs-H.smr-L</t>
  </si>
  <si>
    <t>gp-L.re-H.Pol-Part.Cp-00.ncs-I.smr-H</t>
  </si>
  <si>
    <t>gp-L.re-H.Pol-Part.Cp-00.ncs-I.smr-I</t>
  </si>
  <si>
    <t>gp-L.re-H.Pol-Part.Cp-00.ncs-I.smr-L</t>
  </si>
  <si>
    <t>gp-L.re-H.Pol-Part.Cp-00.ncs-L.smr-H</t>
  </si>
  <si>
    <t>gp-L.re-H.Pol-Part.Cp-00.ncs-L.smr-I</t>
  </si>
  <si>
    <t>gp-L.re-H.Pol-Part.Cp-00.ncs-L.smr-L</t>
  </si>
  <si>
    <t>gp-L.re-H.Pol-Part.Cp-95.ncs-H.smr-H</t>
  </si>
  <si>
    <t>gp-L.re-H.Pol-Part.Cp-95.ncs-H.smr-I</t>
  </si>
  <si>
    <t>gp-L.re-H.Pol-Part.Cp-95.ncs-H.smr-L</t>
  </si>
  <si>
    <t>gp-L.re-H.Pol-Part.Cp-95.ncs-I.smr-H</t>
  </si>
  <si>
    <t>gp-L.re-H.Pol-Part.Cp-95.ncs-I.smr-I</t>
  </si>
  <si>
    <t>gp-L.re-H.Pol-Part.Cp-95.ncs-I.smr-L</t>
  </si>
  <si>
    <t>gp-L.re-H.Pol-Part.Cp-95.ncs-L.smr-H</t>
  </si>
  <si>
    <t>gp-L.re-H.Pol-Part.Cp-95.ncs-L.smr-I</t>
  </si>
  <si>
    <t>gp-L.re-H.Pol-Part.Cp-95.ncs-L.smr-L</t>
  </si>
  <si>
    <t>gp-L.re-L.Pol-IRA.Cp-00.ncs-H.smr-H</t>
  </si>
  <si>
    <t>gp-L.re-L.Pol-IRA.Cp-00.ncs-H.smr-I</t>
  </si>
  <si>
    <t>gp-L.re-L.Pol-IRA.Cp-00.ncs-H.smr-L</t>
  </si>
  <si>
    <t>gp-L.re-L.Pol-IRA.Cp-00.ncs-I.smr-H</t>
  </si>
  <si>
    <t>gp-L.re-L.Pol-IRA.Cp-00.ncs-I.smr-I</t>
  </si>
  <si>
    <t>gp-L.re-L.Pol-IRA.Cp-00.ncs-I.smr-L</t>
  </si>
  <si>
    <t>gp-L.re-L.Pol-IRA.Cp-00.ncs-L.smr-H</t>
  </si>
  <si>
    <t>gp-L.re-L.Pol-IRA.Cp-00.ncs-L.smr-I</t>
  </si>
  <si>
    <t>gp-L.re-L.Pol-IRA.Cp-00.ncs-L.smr-L</t>
  </si>
  <si>
    <t>gp-L.re-L.Pol-IRA.Cp-95.ncs-H.smr-H</t>
  </si>
  <si>
    <t>gp-L.re-L.Pol-IRA.Cp-95.ncs-H.smr-I</t>
  </si>
  <si>
    <t>gp-L.re-L.Pol-IRA.Cp-95.ncs-H.smr-L</t>
  </si>
  <si>
    <t>gp-L.re-L.Pol-IRA.Cp-95.ncs-I.smr-H</t>
  </si>
  <si>
    <t>gp-L.re-L.Pol-IRA.Cp-95.ncs-I.smr-I</t>
  </si>
  <si>
    <t>gp-L.re-L.Pol-IRA.Cp-95.ncs-I.smr-L</t>
  </si>
  <si>
    <t>gp-L.re-L.Pol-IRA.Cp-95.ncs-L.smr-H</t>
  </si>
  <si>
    <t>gp-L.re-L.Pol-IRA.Cp-95.ncs-L.smr-I</t>
  </si>
  <si>
    <t>gp-L.re-L.Pol-IRA.Cp-95.ncs-L.smr-L</t>
  </si>
  <si>
    <t>gp-L.re-L.Pol-Part.Cp-00.ncs-H.smr-H</t>
  </si>
  <si>
    <t>gp-L.re-L.Pol-Part.Cp-00.ncs-H.smr-I</t>
  </si>
  <si>
    <t>gp-L.re-L.Pol-Part.Cp-00.ncs-H.smr-L</t>
  </si>
  <si>
    <t>gp-L.re-L.Pol-Part.Cp-00.ncs-I.smr-H</t>
  </si>
  <si>
    <t>gp-L.re-L.Pol-Part.Cp-00.ncs-I.smr-I</t>
  </si>
  <si>
    <t>gp-L.re-L.Pol-Part.Cp-00.ncs-I.smr-L</t>
  </si>
  <si>
    <t>gp-L.re-L.Pol-Part.Cp-00.ncs-L.smr-H</t>
  </si>
  <si>
    <t>gp-L.re-L.Pol-Part.Cp-00.ncs-L.smr-I</t>
  </si>
  <si>
    <t>gp-L.re-L.Pol-Part.Cp-00.ncs-L.smr-L</t>
  </si>
  <si>
    <t>gp-L.re-L.Pol-Part.Cp-95.ncs-H.smr-H</t>
  </si>
  <si>
    <t>gp-L.re-L.Pol-Part.Cp-95.ncs-H.smr-I</t>
  </si>
  <si>
    <t>gp-L.re-L.Pol-Part.Cp-95.ncs-H.smr-L</t>
  </si>
  <si>
    <t>gp-L.re-L.Pol-Part.Cp-95.ncs-I.smr-H</t>
  </si>
  <si>
    <t>gp-L.re-L.Pol-Part.Cp-95.ncs-I.smr-I</t>
  </si>
  <si>
    <t>gp-L.re-L.Pol-Part.Cp-95.ncs-I.smr-L</t>
  </si>
  <si>
    <t>gp-L.re-L.Pol-Part.Cp-95.ncs-L.smr-H</t>
  </si>
  <si>
    <t>gp-L.re-L.Pol-Part.Cp-95.ncs-L.smr-I</t>
  </si>
  <si>
    <t>gp-L.re-L.Pol-Part.Cp-95.ncs-L.smr-L</t>
  </si>
  <si>
    <t>co2net</t>
  </si>
  <si>
    <t>tech</t>
  </si>
  <si>
    <t>unit</t>
  </si>
  <si>
    <t>Biomass</t>
  </si>
  <si>
    <t>Twh</t>
  </si>
  <si>
    <t>Coal Steam CCS rtft</t>
  </si>
  <si>
    <t>Coal Steam</t>
  </si>
  <si>
    <t>Comb Cyc CCS rtft</t>
  </si>
  <si>
    <t>Comb Cyc H2 Cof rtft</t>
  </si>
  <si>
    <t>Combined Cycle</t>
  </si>
  <si>
    <t>Combustion Turbine</t>
  </si>
  <si>
    <t>EE</t>
  </si>
  <si>
    <t>Fossil Waste</t>
  </si>
  <si>
    <t>Geothermal</t>
  </si>
  <si>
    <t>Hydro</t>
  </si>
  <si>
    <t>IGCC</t>
  </si>
  <si>
    <t>Nuclear</t>
  </si>
  <si>
    <t>O/G Steam</t>
  </si>
  <si>
    <t>Offshore Wind</t>
  </si>
  <si>
    <t>Onshore Wind</t>
  </si>
  <si>
    <t>RTPV</t>
  </si>
  <si>
    <t>Solar PV</t>
  </si>
  <si>
    <t>Solar Thermal</t>
  </si>
  <si>
    <t>Storage</t>
  </si>
  <si>
    <t>Trade Elec</t>
  </si>
  <si>
    <t>Combined Cycle CCS</t>
  </si>
  <si>
    <t>co2</t>
  </si>
  <si>
    <t>prices</t>
  </si>
  <si>
    <t>flo_cost</t>
  </si>
  <si>
    <t>*shares</t>
  </si>
  <si>
    <t>~TFM_INS-TS: curr=USD21</t>
  </si>
  <si>
    <t>~Inputcell: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</si>
</sst>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9" fontId="8" fillId="0" borderId="0" applyFont="0" applyFill="0" applyBorder="0" applyAlignment="0" applyProtection="0"/>
    <xf numFmtId="0" fontId="9" fillId="0" borderId="0"/>
  </cellStyleXfs>
  <cellXfs count="1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0" fontId="9" fillId="0" borderId="0" xfId="6"/>
    <xf numFmtId="2" fontId="9" fillId="0" borderId="0" xfId="6" applyNumberFormat="1"/>
    <xf numFmtId="9" fontId="0" fillId="0" borderId="0" xfId="5" applyFont="1"/>
    <xf numFmtId="1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  <cellStyle name="Normal 2" xfId="6" xr:uid="{99A0631E-A474-42C3-A449-A55B639A157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8"/>
  <sheetViews>
    <sheetView tabSelected="1" workbookViewId="0">
      <selection activeCell="B3" sqref="B3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  <col min="18" max="18" width="9.265625" bestFit="1" customWidth="1"/>
  </cols>
  <sheetData>
    <row r="2" spans="2:27" x14ac:dyDescent="0.45">
      <c r="B2" t="s">
        <v>427</v>
      </c>
    </row>
    <row r="3" spans="2:27" x14ac:dyDescent="0.45">
      <c r="B3">
        <v>8</v>
      </c>
    </row>
    <row r="5" spans="2:27" x14ac:dyDescent="0.45">
      <c r="C5" s="2" t="str">
        <f>VLOOKUP(B3,$B$7:$C$22,2,FALSE)</f>
        <v>gp-I.re-H.Pol-Part.Cp-00.ncs-I.smr-I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4286.8900000000003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B14">
        <v>8</v>
      </c>
      <c r="C14" t="s">
        <v>274</v>
      </c>
      <c r="Q14" s="6" t="str">
        <f>IF(B3&gt;7,"FACETS","~TFM_INS-TS")</f>
        <v>FACETS</v>
      </c>
    </row>
    <row r="15" spans="2:27" ht="15" thickTop="1" thickBot="1" x14ac:dyDescent="0.5">
      <c r="B15">
        <v>9</v>
      </c>
      <c r="C15" t="s">
        <v>283</v>
      </c>
      <c r="G15">
        <f>iamc_data!F1</f>
        <v>2020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1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1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1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1:26" x14ac:dyDescent="0.45">
      <c r="Q20" t="s">
        <v>248</v>
      </c>
    </row>
    <row r="21" spans="1:26" x14ac:dyDescent="0.45">
      <c r="E21" t="s">
        <v>106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57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249</v>
      </c>
    </row>
    <row r="23" spans="1:26" ht="17.649999999999999" thickBot="1" x14ac:dyDescent="0.6">
      <c r="Q23" s="6" t="s">
        <v>7</v>
      </c>
    </row>
    <row r="24" spans="1:26" ht="15" thickTop="1" thickBot="1" x14ac:dyDescent="0.5">
      <c r="Q24" s="5" t="s">
        <v>42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43</v>
      </c>
    </row>
    <row r="25" spans="1:26" x14ac:dyDescent="0.45">
      <c r="Q25" t="s">
        <v>40</v>
      </c>
      <c r="R25" s="1">
        <f>historical_data!Y87</f>
        <v>15.8</v>
      </c>
      <c r="S25" s="1">
        <f>AVERAGE(historical_data!U87:Z87)</f>
        <v>16.25</v>
      </c>
      <c r="Y25" t="s">
        <v>44</v>
      </c>
      <c r="Z25" t="s">
        <v>45</v>
      </c>
    </row>
    <row r="26" spans="1:26" x14ac:dyDescent="0.45">
      <c r="Q26" t="s">
        <v>41</v>
      </c>
      <c r="R26" s="1">
        <f>historical_data!Y88</f>
        <v>57</v>
      </c>
      <c r="S26" s="1">
        <f>AVERAGE(historical_data!U88:Z88)</f>
        <v>54.65</v>
      </c>
      <c r="Y26" t="s">
        <v>44</v>
      </c>
      <c r="Z26" t="s">
        <v>45</v>
      </c>
    </row>
    <row r="28" spans="1:26" ht="17.649999999999999" thickBot="1" x14ac:dyDescent="0.6">
      <c r="Q28" s="6" t="s">
        <v>426</v>
      </c>
    </row>
    <row r="29" spans="1:26" ht="15" thickTop="1" thickBot="1" x14ac:dyDescent="0.5">
      <c r="C29">
        <v>2023</v>
      </c>
      <c r="D29">
        <v>2025</v>
      </c>
      <c r="E29">
        <v>2030</v>
      </c>
      <c r="F29">
        <v>2035</v>
      </c>
      <c r="G29">
        <v>2040</v>
      </c>
      <c r="H29">
        <v>2045</v>
      </c>
      <c r="I29">
        <v>2050</v>
      </c>
      <c r="P29" t="s">
        <v>425</v>
      </c>
      <c r="Q29" s="5" t="s">
        <v>8</v>
      </c>
      <c r="R29" s="5">
        <v>2022</v>
      </c>
      <c r="S29" s="5">
        <v>2025</v>
      </c>
      <c r="T29" s="5">
        <v>2030</v>
      </c>
      <c r="U29" s="5">
        <v>2035</v>
      </c>
      <c r="V29" s="5">
        <v>2040</v>
      </c>
      <c r="W29" s="5">
        <v>2045</v>
      </c>
      <c r="X29" s="5">
        <v>2050</v>
      </c>
      <c r="Y29" s="5" t="s">
        <v>9</v>
      </c>
      <c r="Z29" s="5" t="s">
        <v>42</v>
      </c>
    </row>
    <row r="30" spans="1:26" x14ac:dyDescent="0.45">
      <c r="B30" t="s">
        <v>11</v>
      </c>
      <c r="C30">
        <f>SUMIF(facets_production!$A$2:$A$3104,Veda!$C$5,facets_production!D$2:D$3104)</f>
        <v>4084.1695644355991</v>
      </c>
      <c r="D30">
        <f>SUMIF(facets_production!$A$2:$A$3104,Veda!$C$5,facets_production!E$2:E$3104)</f>
        <v>4198.5678612651473</v>
      </c>
      <c r="E30">
        <f>SUMIF(facets_production!$A$2:$A$3104,Veda!$C$5,facets_production!F$2:F$3104)</f>
        <v>4727.3111214030896</v>
      </c>
      <c r="F30">
        <f>SUMIF(facets_production!$A$2:$A$3104,Veda!$C$5,facets_production!G$2:G$3104)</f>
        <v>5788.6081372231456</v>
      </c>
      <c r="G30">
        <f>SUMIF(facets_production!$A$2:$A$3104,Veda!$C$5,facets_production!H$2:H$3104)</f>
        <v>6934.0726858781727</v>
      </c>
      <c r="H30">
        <f>SUMIF(facets_production!$A$2:$A$3104,Veda!$C$5,facets_production!I$2:I$3104)</f>
        <v>7828.1399312408485</v>
      </c>
      <c r="I30">
        <f>SUMIF(facets_production!$A$2:$A$3104,Veda!$C$5,facets_production!J$2:J$3104)</f>
        <v>8445.3121616792214</v>
      </c>
      <c r="P30" s="15">
        <v>3.3260703308754568E-3</v>
      </c>
      <c r="Q30" t="s">
        <v>10</v>
      </c>
      <c r="R30" s="16">
        <f>C$30*$P30</f>
        <v>13.584235214533784</v>
      </c>
      <c r="S30" s="16">
        <f t="shared" ref="S30:X32" si="6">D$30*$P30</f>
        <v>13.964731995521227</v>
      </c>
      <c r="T30" s="16">
        <f t="shared" si="6"/>
        <v>15.723369265716402</v>
      </c>
      <c r="U30" s="16">
        <f t="shared" si="6"/>
        <v>19.253317782282149</v>
      </c>
      <c r="V30" s="16">
        <f t="shared" si="6"/>
        <v>23.06321343263328</v>
      </c>
      <c r="W30" s="16">
        <f t="shared" si="6"/>
        <v>26.036943971241623</v>
      </c>
      <c r="X30" s="16">
        <f t="shared" si="6"/>
        <v>28.089702215942928</v>
      </c>
      <c r="Y30" t="s">
        <v>11</v>
      </c>
    </row>
    <row r="31" spans="1:26" x14ac:dyDescent="0.45">
      <c r="A31" t="s">
        <v>423</v>
      </c>
      <c r="B31" t="s">
        <v>422</v>
      </c>
      <c r="C31" s="1">
        <f>SUMIF(facets_prices!$A$3:$A$146,Veda!$C$5,facets_prices!B$3:B$146)/1000</f>
        <v>1.52387704565E-2</v>
      </c>
      <c r="D31" s="1">
        <f>SUMIF(facets_prices!$A$3:$A$146,Veda!$C$5,facets_prices!C$3:C$146)/1000</f>
        <v>1.51853971974004E-2</v>
      </c>
      <c r="E31" s="1">
        <f>SUMIF(facets_prices!$A$3:$A$146,Veda!$C$5,facets_prices!D$3:D$146)/1000</f>
        <v>1.4910611008709098E-2</v>
      </c>
      <c r="F31" s="1">
        <f>SUMIF(facets_prices!$A$3:$A$146,Veda!$C$5,facets_prices!E$3:E$146)/1000</f>
        <v>1.4861522121538101E-2</v>
      </c>
      <c r="G31" s="1">
        <f>SUMIF(facets_prices!$A$3:$A$146,Veda!$C$5,facets_prices!F$3:F$146)/1000</f>
        <v>1.5151313532968195E-2</v>
      </c>
      <c r="H31" s="1">
        <f>SUMIF(facets_prices!$A$3:$A$146,Veda!$C$5,facets_prices!G$3:G$146)/1000</f>
        <v>2.2727469110395099E-2</v>
      </c>
      <c r="I31" s="1">
        <f>SUMIF(facets_prices!$A$3:$A$146,Veda!$C$5,facets_prices!H$3:H$146)/1000</f>
        <v>6.149237941431359E-2</v>
      </c>
      <c r="P31" s="15">
        <v>0.85039176923853921</v>
      </c>
      <c r="Q31" t="s">
        <v>12</v>
      </c>
      <c r="R31" s="16">
        <f>R38-R33</f>
        <v>3473.1441817705831</v>
      </c>
      <c r="S31" s="16">
        <f t="shared" ref="S31:X31" si="7">S38-S33</f>
        <v>3570.4275518093382</v>
      </c>
      <c r="T31" s="16">
        <f t="shared" si="7"/>
        <v>3328.5451844046188</v>
      </c>
      <c r="U31" s="16">
        <f t="shared" si="7"/>
        <v>4075.8146110427269</v>
      </c>
      <c r="V31" s="16">
        <f t="shared" si="7"/>
        <v>4882.3472062995979</v>
      </c>
      <c r="W31" s="16">
        <f t="shared" si="7"/>
        <v>5511.8685446799163</v>
      </c>
      <c r="X31" s="16">
        <f t="shared" si="7"/>
        <v>5946.4254424210112</v>
      </c>
      <c r="Y31" t="s">
        <v>11</v>
      </c>
    </row>
    <row r="32" spans="1:26" x14ac:dyDescent="0.45">
      <c r="B32" t="s">
        <v>37</v>
      </c>
      <c r="C32" s="1">
        <f>SUMIF(facets_prices!$A$3:$A$146,Veda!$C$5,facets_prices!I$3:I$146)</f>
        <v>15.206421945274064</v>
      </c>
      <c r="D32" s="1">
        <f>SUMIF(facets_prices!$A$3:$A$146,Veda!$C$5,facets_prices!J$3:J$146)</f>
        <v>9.134153965256143</v>
      </c>
      <c r="E32" s="1">
        <f>SUMIF(facets_prices!$A$3:$A$146,Veda!$C$5,facets_prices!K$3:K$146)</f>
        <v>9.010551762562125</v>
      </c>
      <c r="F32" s="1">
        <f>SUMIF(facets_prices!$A$3:$A$146,Veda!$C$5,facets_prices!L$3:L$146)</f>
        <v>13.399336457013206</v>
      </c>
      <c r="G32" s="1">
        <f>SUMIF(facets_prices!$A$3:$A$146,Veda!$C$5,facets_prices!M$3:M$146)</f>
        <v>15.167952969432388</v>
      </c>
      <c r="H32" s="1">
        <f>SUMIF(facets_prices!$A$3:$A$146,Veda!$C$5,facets_prices!N$3:N$146)</f>
        <v>16.972672550762653</v>
      </c>
      <c r="I32" s="1">
        <f>SUMIF(facets_prices!$A$3:$A$146,Veda!$C$5,facets_prices!O$3:O$146)</f>
        <v>17.244070217466241</v>
      </c>
      <c r="P32" s="15">
        <v>0.14628216043058542</v>
      </c>
      <c r="Q32" t="s">
        <v>13</v>
      </c>
      <c r="R32" s="16">
        <f t="shared" ref="R32" si="8">C$30*$P32</f>
        <v>597.4411474504825</v>
      </c>
      <c r="S32" s="16">
        <f t="shared" si="6"/>
        <v>614.1755774602882</v>
      </c>
      <c r="T32" s="16">
        <f t="shared" si="6"/>
        <v>691.52128386637742</v>
      </c>
      <c r="U32" s="16">
        <f t="shared" si="6"/>
        <v>846.77010419906844</v>
      </c>
      <c r="V32" s="16">
        <f t="shared" si="6"/>
        <v>1014.3311330729712</v>
      </c>
      <c r="W32" s="16">
        <f t="shared" si="6"/>
        <v>1145.1172212948456</v>
      </c>
      <c r="X32" s="16">
        <f t="shared" si="6"/>
        <v>1235.3985085211341</v>
      </c>
      <c r="Y32" t="s">
        <v>11</v>
      </c>
    </row>
    <row r="33" spans="17:26" x14ac:dyDescent="0.45">
      <c r="Q33" t="s">
        <v>14</v>
      </c>
      <c r="R33">
        <v>0</v>
      </c>
      <c r="S33">
        <v>0</v>
      </c>
      <c r="T33" s="16">
        <f>T32</f>
        <v>691.52128386637742</v>
      </c>
      <c r="U33" s="16">
        <f t="shared" ref="U33:X33" si="9">U32</f>
        <v>846.77010419906844</v>
      </c>
      <c r="V33" s="16">
        <f t="shared" si="9"/>
        <v>1014.3311330729712</v>
      </c>
      <c r="W33" s="16">
        <f t="shared" si="9"/>
        <v>1145.1172212948456</v>
      </c>
      <c r="X33" s="16">
        <f t="shared" si="9"/>
        <v>1235.3985085211341</v>
      </c>
      <c r="Y33" t="s">
        <v>11</v>
      </c>
    </row>
    <row r="34" spans="17:26" x14ac:dyDescent="0.45">
      <c r="Q34" t="s">
        <v>396</v>
      </c>
      <c r="R34" s="1">
        <f>C31</f>
        <v>1.52387704565E-2</v>
      </c>
      <c r="S34" s="1">
        <f t="shared" ref="S34:X34" si="10">D31</f>
        <v>1.51853971974004E-2</v>
      </c>
      <c r="T34" s="1">
        <f t="shared" si="10"/>
        <v>1.4910611008709098E-2</v>
      </c>
      <c r="U34" s="1">
        <f t="shared" si="10"/>
        <v>1.4861522121538101E-2</v>
      </c>
      <c r="V34" s="1">
        <f t="shared" si="10"/>
        <v>1.5151313532968195E-2</v>
      </c>
      <c r="W34" s="1">
        <f t="shared" si="10"/>
        <v>2.2727469110395099E-2</v>
      </c>
      <c r="X34" s="1">
        <f t="shared" si="10"/>
        <v>6.149237941431359E-2</v>
      </c>
      <c r="Y34" t="s">
        <v>249</v>
      </c>
    </row>
    <row r="35" spans="17:26" x14ac:dyDescent="0.45">
      <c r="Q35" t="s">
        <v>37</v>
      </c>
      <c r="R35" s="1">
        <f>C32</f>
        <v>15.206421945274064</v>
      </c>
      <c r="S35" s="1">
        <f t="shared" ref="S35:X35" si="11">D32</f>
        <v>9.134153965256143</v>
      </c>
      <c r="T35" s="1">
        <f t="shared" si="11"/>
        <v>9.010551762562125</v>
      </c>
      <c r="U35" s="1">
        <f t="shared" si="11"/>
        <v>13.399336457013206</v>
      </c>
      <c r="V35" s="1">
        <f t="shared" si="11"/>
        <v>15.167952969432388</v>
      </c>
      <c r="W35" s="1">
        <f t="shared" si="11"/>
        <v>16.972672550762653</v>
      </c>
      <c r="X35" s="1">
        <f t="shared" si="11"/>
        <v>17.244070217466241</v>
      </c>
      <c r="Y35" t="s">
        <v>424</v>
      </c>
      <c r="Z35" t="s">
        <v>32</v>
      </c>
    </row>
    <row r="38" spans="17:26" x14ac:dyDescent="0.45">
      <c r="Q38" t="s">
        <v>12</v>
      </c>
      <c r="R38" s="16">
        <f t="shared" ref="R38:X38" si="12">C$30*$P31</f>
        <v>3473.1441817705831</v>
      </c>
      <c r="S38" s="16">
        <f t="shared" si="12"/>
        <v>3570.4275518093382</v>
      </c>
      <c r="T38" s="16">
        <f t="shared" si="12"/>
        <v>4020.0664682709962</v>
      </c>
      <c r="U38" s="16">
        <f t="shared" si="12"/>
        <v>4922.5847152417955</v>
      </c>
      <c r="V38" s="16">
        <f t="shared" si="12"/>
        <v>5896.6783393725691</v>
      </c>
      <c r="W38" s="16">
        <f t="shared" si="12"/>
        <v>6656.9857659747622</v>
      </c>
      <c r="X38" s="16">
        <f t="shared" si="12"/>
        <v>7181.8239509421455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554-325E-413C-8074-862FED0451CE}">
  <dimension ref="A1:O146"/>
  <sheetViews>
    <sheetView topLeftCell="A102" workbookViewId="0">
      <selection activeCell="B2" sqref="B2:H2"/>
    </sheetView>
  </sheetViews>
  <sheetFormatPr defaultRowHeight="14.25" x14ac:dyDescent="0.45"/>
  <cols>
    <col min="1" max="1" width="31" bestFit="1" customWidth="1"/>
  </cols>
  <sheetData>
    <row r="1" spans="1:15" x14ac:dyDescent="0.45">
      <c r="A1" t="s">
        <v>250</v>
      </c>
      <c r="B1" s="12" t="s">
        <v>396</v>
      </c>
      <c r="I1" s="12" t="s">
        <v>37</v>
      </c>
    </row>
    <row r="2" spans="1:15" x14ac:dyDescent="0.45">
      <c r="A2" t="s">
        <v>251</v>
      </c>
      <c r="B2">
        <v>2023</v>
      </c>
      <c r="C2">
        <v>2025</v>
      </c>
      <c r="D2">
        <v>2030</v>
      </c>
      <c r="E2">
        <v>2035</v>
      </c>
      <c r="F2">
        <v>2040</v>
      </c>
      <c r="G2">
        <v>2045</v>
      </c>
      <c r="H2">
        <v>2050</v>
      </c>
      <c r="I2">
        <v>2023</v>
      </c>
      <c r="J2">
        <v>2025</v>
      </c>
      <c r="K2">
        <v>2030</v>
      </c>
      <c r="L2">
        <v>2035</v>
      </c>
      <c r="M2">
        <v>2040</v>
      </c>
      <c r="N2">
        <v>2045</v>
      </c>
      <c r="O2">
        <v>2050</v>
      </c>
    </row>
    <row r="3" spans="1:15" x14ac:dyDescent="0.45">
      <c r="A3" t="s">
        <v>252</v>
      </c>
      <c r="B3" s="1">
        <v>15.238770456499999</v>
      </c>
      <c r="C3" s="1">
        <v>15.1853971974004</v>
      </c>
      <c r="D3" s="1">
        <v>14.910611008709102</v>
      </c>
      <c r="E3" s="1">
        <v>14.861522121538098</v>
      </c>
      <c r="F3" s="1">
        <v>15.151313532968199</v>
      </c>
      <c r="G3" s="1">
        <v>22.727469110395102</v>
      </c>
      <c r="H3" s="1">
        <v>61.492379414313589</v>
      </c>
      <c r="I3" s="1">
        <f t="shared" ref="I3:I12" si="0">4.45632643118448*(3.6/1.055)</f>
        <v>15.206421945274064</v>
      </c>
      <c r="J3" s="1">
        <f>2.67736146876158*(3.6/1.055)</f>
        <v>9.1360201777646424</v>
      </c>
      <c r="K3" s="1">
        <f>2.63789743722707*(3.6/1.055)</f>
        <v>9.0013561839027965</v>
      </c>
      <c r="L3" s="1">
        <f>3.89196924261842*(3.6/1.055)</f>
        <v>13.280653339740581</v>
      </c>
      <c r="M3" s="1">
        <f>4.16263956962666*(3.6/1.055)</f>
        <v>14.204267725740278</v>
      </c>
      <c r="N3" s="1">
        <f>4.43384645666128*(3.6/1.055)</f>
        <v>15.12971302746976</v>
      </c>
      <c r="O3" s="1">
        <f>4.72593882034521*(3.6/1.055)</f>
        <v>16.126426306391224</v>
      </c>
    </row>
    <row r="4" spans="1:15" x14ac:dyDescent="0.45">
      <c r="A4" t="s">
        <v>253</v>
      </c>
      <c r="B4" s="1">
        <v>15.238770456499998</v>
      </c>
      <c r="C4" s="1">
        <v>15.185397197400398</v>
      </c>
      <c r="D4" s="1">
        <v>14.9106110087091</v>
      </c>
      <c r="E4" s="1">
        <v>14.861522121538098</v>
      </c>
      <c r="F4" s="1">
        <v>15.151313532968201</v>
      </c>
      <c r="G4" s="1">
        <v>22.727469110395099</v>
      </c>
      <c r="H4" s="1">
        <v>61.492379414313589</v>
      </c>
      <c r="I4" s="1">
        <f t="shared" si="0"/>
        <v>15.206421945274061</v>
      </c>
      <c r="J4" s="1">
        <f>2.67734991484641*(3.6/1.055)</f>
        <v>9.1359807520825331</v>
      </c>
      <c r="K4" s="1">
        <f>2.63789165703481*(3.6/1.055)</f>
        <v>9.001336460024012</v>
      </c>
      <c r="L4" s="1">
        <f>3.89068163132061*(3.6/1.055)</f>
        <v>13.276259595027668</v>
      </c>
      <c r="M4" s="1">
        <f>4.16269785734852*(3.6/1.055)</f>
        <v>14.204466622231902</v>
      </c>
      <c r="N4" s="1">
        <f>4.43374382871559*(3.6/1.055)</f>
        <v>15.129362827844684</v>
      </c>
      <c r="O4" s="1">
        <f>4.72585210130874*(3.6/1.055)</f>
        <v>16.126130393091444</v>
      </c>
    </row>
    <row r="5" spans="1:15" x14ac:dyDescent="0.45">
      <c r="A5" t="s">
        <v>254</v>
      </c>
      <c r="B5" s="1">
        <v>15.238770456499996</v>
      </c>
      <c r="C5" s="1">
        <v>15.185397197400398</v>
      </c>
      <c r="D5" s="1">
        <v>14.910611008709097</v>
      </c>
      <c r="E5" s="1">
        <v>14.861522121538101</v>
      </c>
      <c r="F5" s="1">
        <v>15.151313532968198</v>
      </c>
      <c r="G5" s="1">
        <v>22.727469110395099</v>
      </c>
      <c r="H5" s="1">
        <v>61.492379414313604</v>
      </c>
      <c r="I5" s="1">
        <f t="shared" si="0"/>
        <v>15.206421945274068</v>
      </c>
      <c r="J5" s="1">
        <f>2.67747632865564*(3.6/1.055)</f>
        <v>9.13641211673961</v>
      </c>
      <c r="K5" s="1">
        <f>2.63753635651955*(3.6/1.055)</f>
        <v>9.000124060161486</v>
      </c>
      <c r="L5" s="1">
        <f>3.88461400792695*(3.6/1.055)</f>
        <v>13.255554908565912</v>
      </c>
      <c r="M5" s="1">
        <f>4.15292032451715*(3.6/1.055)</f>
        <v>14.171102529158054</v>
      </c>
      <c r="N5" s="1">
        <f>4.24990379606915*(3.6/1.055)</f>
        <v>14.502041389430275</v>
      </c>
      <c r="O5" s="1">
        <f>4.28973342948454*(3.6/1.055)</f>
        <v>14.637952934733971</v>
      </c>
    </row>
    <row r="6" spans="1:15" x14ac:dyDescent="0.45">
      <c r="A6" t="s">
        <v>255</v>
      </c>
      <c r="B6" s="1">
        <v>15.238770456499996</v>
      </c>
      <c r="C6" s="1">
        <v>15.185397197400402</v>
      </c>
      <c r="D6" s="1">
        <v>14.9106110087091</v>
      </c>
      <c r="E6" s="1">
        <v>14.861522121538096</v>
      </c>
      <c r="F6" s="1">
        <v>15.151313532968198</v>
      </c>
      <c r="G6" s="1">
        <v>22.727469110395099</v>
      </c>
      <c r="H6" s="1">
        <v>61.492379414313596</v>
      </c>
      <c r="I6" s="1">
        <f t="shared" si="0"/>
        <v>15.206421945274068</v>
      </c>
      <c r="J6" s="1">
        <f>2.67731232948608*(3.6/1.055)</f>
        <v>9.1358524987202738</v>
      </c>
      <c r="K6" s="1">
        <f>2.63783791922401*(3.6/1.055)</f>
        <v>9.001153089295185</v>
      </c>
      <c r="L6" s="1">
        <f>3.89074558763954*(3.6/1.055)</f>
        <v>13.27647783459939</v>
      </c>
      <c r="M6" s="1">
        <f>4.17790703754798*(3.6/1.055)</f>
        <v>14.256365246609224</v>
      </c>
      <c r="N6" s="1">
        <f>4.43382118555755*(3.6/1.055)</f>
        <v>15.129626794319593</v>
      </c>
      <c r="O6" s="1">
        <f>4.72603837175001*(3.6/1.055)</f>
        <v>16.126766007867325</v>
      </c>
    </row>
    <row r="7" spans="1:15" x14ac:dyDescent="0.45">
      <c r="A7" t="s">
        <v>256</v>
      </c>
      <c r="B7" s="1">
        <v>15.238770456499999</v>
      </c>
      <c r="C7" s="1">
        <v>15.185397197400402</v>
      </c>
      <c r="D7" s="1">
        <v>14.910611008709102</v>
      </c>
      <c r="E7" s="1">
        <v>14.861522121538098</v>
      </c>
      <c r="F7" s="1">
        <v>15.151313532968199</v>
      </c>
      <c r="G7" s="1">
        <v>22.727469110395099</v>
      </c>
      <c r="H7" s="1">
        <v>61.492379414313604</v>
      </c>
      <c r="I7" s="1">
        <f t="shared" si="0"/>
        <v>15.206421945274059</v>
      </c>
      <c r="J7" s="1">
        <f>2.67733615826194*(3.6/1.055)</f>
        <v>9.1359338101829142</v>
      </c>
      <c r="K7" s="1">
        <f>2.63784263123225*(3.6/1.055)</f>
        <v>9.0011691681858856</v>
      </c>
      <c r="L7" s="1">
        <f>3.88822545624734*(3.6/1.055)</f>
        <v>13.267878334114137</v>
      </c>
      <c r="M7" s="1">
        <f>4.1836969539716*(3.6/1.055)</f>
        <v>14.276122307391251</v>
      </c>
      <c r="N7" s="1">
        <f>4.43373647846871*(3.6/1.055)</f>
        <v>15.129337746433503</v>
      </c>
      <c r="O7" s="1">
        <f>4.7258669057064*(3.6/1.055)</f>
        <v>16.126180910467347</v>
      </c>
    </row>
    <row r="8" spans="1:15" x14ac:dyDescent="0.45">
      <c r="A8" t="s">
        <v>257</v>
      </c>
      <c r="B8" s="1">
        <v>15.238770456499996</v>
      </c>
      <c r="C8" s="1">
        <v>15.185397197400402</v>
      </c>
      <c r="D8" s="1">
        <v>14.9106110087091</v>
      </c>
      <c r="E8" s="1">
        <v>14.861522121538099</v>
      </c>
      <c r="F8" s="1">
        <v>15.151313532968201</v>
      </c>
      <c r="G8" s="1">
        <v>22.727469110395099</v>
      </c>
      <c r="H8" s="1">
        <v>61.492379414313604</v>
      </c>
      <c r="I8" s="1">
        <f t="shared" si="0"/>
        <v>15.206421945274064</v>
      </c>
      <c r="J8" s="1">
        <f>2.6774777500872*(3.6/1.055)</f>
        <v>9.1364169671221926</v>
      </c>
      <c r="K8" s="1">
        <f>2.63747551425999*(3.6/1.055)</f>
        <v>8.9999164467639563</v>
      </c>
      <c r="L8" s="1">
        <f>3.88572093551542*(3.6/1.055)</f>
        <v>13.259332102232705</v>
      </c>
      <c r="M8" s="1">
        <f>4.15316218362984*(3.6/1.055)</f>
        <v>14.171927830395676</v>
      </c>
      <c r="N8" s="1">
        <f>4.24998707418365*(3.6/1.055)</f>
        <v>14.502325561195386</v>
      </c>
      <c r="O8" s="1">
        <f>4.28974633795512*(3.6/1.055)</f>
        <v>14.637996982595674</v>
      </c>
    </row>
    <row r="9" spans="1:15" x14ac:dyDescent="0.45">
      <c r="A9" t="s">
        <v>258</v>
      </c>
      <c r="B9" s="1">
        <v>15.238770456499996</v>
      </c>
      <c r="C9" s="1">
        <v>15.1853971974004</v>
      </c>
      <c r="D9" s="1">
        <v>14.9106110087091</v>
      </c>
      <c r="E9" s="1">
        <v>14.861522121538098</v>
      </c>
      <c r="F9" s="1">
        <v>15.151313532968203</v>
      </c>
      <c r="G9" s="1">
        <v>22.727469110395099</v>
      </c>
      <c r="H9" s="1">
        <v>61.492379414313589</v>
      </c>
      <c r="I9" s="1">
        <f t="shared" si="0"/>
        <v>15.206421945274064</v>
      </c>
      <c r="J9" s="1">
        <f>2.67689998398291*(3.6/1.055)</f>
        <v>9.1344454429748421</v>
      </c>
      <c r="K9" s="1">
        <f>2.6371122480011*(3.6/1.055)</f>
        <v>8.9986768652170337</v>
      </c>
      <c r="L9" s="1">
        <f>3.92695901648315*(3.6/1.055)</f>
        <v>13.400049724492266</v>
      </c>
      <c r="M9" s="1">
        <f>4.2468050469469*(3.6/1.055)</f>
        <v>14.491467458776164</v>
      </c>
      <c r="N9" s="1">
        <f>4.59860144490645*(3.6/1.055)</f>
        <v>15.691910143756607</v>
      </c>
      <c r="O9" s="1">
        <f>4.72672474578585*(3.6/1.055)</f>
        <v>16.129108137278735</v>
      </c>
    </row>
    <row r="10" spans="1:15" x14ac:dyDescent="0.45">
      <c r="A10" t="s">
        <v>259</v>
      </c>
      <c r="B10" s="1">
        <v>15.238770456499998</v>
      </c>
      <c r="C10" s="1">
        <v>15.185397197400402</v>
      </c>
      <c r="D10" s="1">
        <v>14.9106110087091</v>
      </c>
      <c r="E10" s="1">
        <v>14.861522121538103</v>
      </c>
      <c r="F10" s="1">
        <v>15.151313532968199</v>
      </c>
      <c r="G10" s="1">
        <v>22.727469110395099</v>
      </c>
      <c r="H10" s="1">
        <v>61.492379414313611</v>
      </c>
      <c r="I10" s="1">
        <f t="shared" si="0"/>
        <v>15.206421945274068</v>
      </c>
      <c r="J10" s="1">
        <f>2.67687920579905*(3.6/1.055)</f>
        <v>9.1343745411152302</v>
      </c>
      <c r="K10" s="1">
        <f>2.63709274618392*(3.6/1.055)</f>
        <v>8.9986103187318776</v>
      </c>
      <c r="L10" s="1">
        <f>3.9269612268074*(3.6/1.055)</f>
        <v>13.400057266830936</v>
      </c>
      <c r="M10" s="1">
        <f>4.24703804725768*(3.6/1.055)</f>
        <v>14.492262530926688</v>
      </c>
      <c r="N10" s="1">
        <f>4.56350557828897*(3.6/1.055)</f>
        <v>15.572151736341509</v>
      </c>
      <c r="O10" s="1">
        <f>4.72657160386187*(3.6/1.055)</f>
        <v>16.1285855676803</v>
      </c>
    </row>
    <row r="11" spans="1:15" x14ac:dyDescent="0.45">
      <c r="A11" t="s">
        <v>260</v>
      </c>
      <c r="B11" s="1">
        <v>15.238770456499996</v>
      </c>
      <c r="C11" s="1">
        <v>15.185397197400398</v>
      </c>
      <c r="D11" s="1">
        <v>14.9106110087091</v>
      </c>
      <c r="E11" s="1">
        <v>14.861522121538098</v>
      </c>
      <c r="F11" s="1">
        <v>15.151313532968201</v>
      </c>
      <c r="G11" s="1">
        <v>22.727469110395102</v>
      </c>
      <c r="H11" s="1">
        <v>61.492379414313596</v>
      </c>
      <c r="I11" s="1">
        <f t="shared" si="0"/>
        <v>15.206421945274059</v>
      </c>
      <c r="J11" s="1">
        <f>2.67715372918943*(3.6/1.055)</f>
        <v>9.1353113033952287</v>
      </c>
      <c r="K11" s="1">
        <f>2.63699615173681*(3.6/1.055)</f>
        <v>8.9982807073483535</v>
      </c>
      <c r="L11" s="1">
        <f>3.92672023580724*(3.6/1.055)</f>
        <v>13.399234927873056</v>
      </c>
      <c r="M11" s="1">
        <f>4.24632348630372*(3.6/1.055)</f>
        <v>14.489824218666737</v>
      </c>
      <c r="N11" s="1">
        <f>4.43156874578024*(3.6/1.055)</f>
        <v>15.121940743894672</v>
      </c>
      <c r="O11" s="1">
        <f>4.40120337913317*(3.6/1.055)</f>
        <v>15.018324326899911</v>
      </c>
    </row>
    <row r="12" spans="1:15" x14ac:dyDescent="0.45">
      <c r="A12" t="s">
        <v>261</v>
      </c>
      <c r="B12" s="1">
        <v>15.238770456499996</v>
      </c>
      <c r="C12" s="1">
        <v>15.1853971974004</v>
      </c>
      <c r="D12" s="1">
        <v>14.910611008709102</v>
      </c>
      <c r="E12" s="1">
        <v>20.418418674262316</v>
      </c>
      <c r="F12" s="1">
        <v>23.529238378848135</v>
      </c>
      <c r="G12" s="1">
        <v>27.741608239862138</v>
      </c>
      <c r="H12" s="1">
        <v>215.32000146962645</v>
      </c>
      <c r="I12" s="1">
        <f t="shared" si="0"/>
        <v>15.206421945274061</v>
      </c>
      <c r="J12" s="1">
        <f>2.67646237212193*(3.6/1.055)</f>
        <v>9.1329521702738994</v>
      </c>
      <c r="K12" s="1">
        <f>2.63987536053449*(3.6/1.055)</f>
        <v>9.0081054956627185</v>
      </c>
      <c r="L12" s="1">
        <f>3.85333999695044*(3.6/1.055)</f>
        <v>13.148837904285871</v>
      </c>
      <c r="M12" s="1">
        <f>4.05810204890324*(3.6/1.055)</f>
        <v>13.847552015214831</v>
      </c>
      <c r="N12" s="1">
        <f>4.25905933284675*(3.6/1.055)</f>
        <v>14.533283031514973</v>
      </c>
      <c r="O12" s="1">
        <f>4.16341672544709*(3.6/1.055)</f>
        <v>14.206919631857357</v>
      </c>
    </row>
    <row r="13" spans="1:15" x14ac:dyDescent="0.45">
      <c r="A13" t="s">
        <v>262</v>
      </c>
      <c r="B13" s="1">
        <v>15.238770456499996</v>
      </c>
      <c r="C13" s="1">
        <v>15.185397197400402</v>
      </c>
      <c r="D13" s="1">
        <v>14.910611008709102</v>
      </c>
      <c r="E13" s="1">
        <v>19.801191441018442</v>
      </c>
      <c r="F13" s="1">
        <v>30.712168751031047</v>
      </c>
      <c r="G13" s="1">
        <v>33.635633530830148</v>
      </c>
      <c r="H13" s="1">
        <v>213.85862255899082</v>
      </c>
      <c r="I13" s="1">
        <f>4.45632643118449*(3.6/1.055)</f>
        <v>15.206421945274077</v>
      </c>
      <c r="J13" s="1">
        <f>2.67661290687164*(3.6/1.055)</f>
        <v>9.1334658433534539</v>
      </c>
      <c r="K13" s="1">
        <f>2.64033959950378*(3.6/1.055)</f>
        <v>9.0096896286384904</v>
      </c>
      <c r="L13" s="1">
        <f>3.85296910460297*(3.6/1.055)</f>
        <v>13.147572300066999</v>
      </c>
      <c r="M13" s="1">
        <f>4.05818110287746*(3.6/1.055)</f>
        <v>13.847821772851983</v>
      </c>
      <c r="N13" s="1">
        <f>4.16590101369093*(3.6/1.055)</f>
        <v>14.215396823969066</v>
      </c>
      <c r="O13" s="1">
        <f>4.00876200994*(3.6/1.055)</f>
        <v>13.679187901217063</v>
      </c>
    </row>
    <row r="14" spans="1:15" x14ac:dyDescent="0.45">
      <c r="A14" t="s">
        <v>263</v>
      </c>
      <c r="B14" s="1">
        <v>15.238770456499999</v>
      </c>
      <c r="C14" s="1">
        <v>15.185397197400402</v>
      </c>
      <c r="D14" s="1">
        <v>14.9106110087091</v>
      </c>
      <c r="E14" s="1">
        <v>21.268874760243474</v>
      </c>
      <c r="F14" s="1">
        <v>28.06757935742505</v>
      </c>
      <c r="G14" s="1">
        <v>17.727097099062515</v>
      </c>
      <c r="H14" s="1">
        <v>254.58385534266066</v>
      </c>
      <c r="I14" s="1">
        <f>4.45632643118448*(3.6/1.055)</f>
        <v>15.206421945274064</v>
      </c>
      <c r="J14" s="1">
        <f>2.67666184273395*(3.6/1.055)</f>
        <v>9.1336328282864727</v>
      </c>
      <c r="K14" s="1">
        <f>2.64103035398154*(3.6/1.055)</f>
        <v>9.0120467055294338</v>
      </c>
      <c r="L14" s="1">
        <f>3.69064240564553*(3.6/1.055)</f>
        <v>12.593661289406556</v>
      </c>
      <c r="M14" s="1">
        <f>3.76946744163721*(3.6/1.055)</f>
        <v>12.862637715539291</v>
      </c>
      <c r="N14" s="1">
        <f>3.92961702859238*(3.6/1.055)</f>
        <v>13.409119718419509</v>
      </c>
      <c r="O14" s="1">
        <f>3.9362095464027*(3.6/1.055)</f>
        <v>13.431615513791218</v>
      </c>
    </row>
    <row r="15" spans="1:15" x14ac:dyDescent="0.45">
      <c r="A15" t="s">
        <v>264</v>
      </c>
      <c r="B15" s="1">
        <v>15.238770456499996</v>
      </c>
      <c r="C15" s="1">
        <v>15.1853971974004</v>
      </c>
      <c r="D15" s="1">
        <v>14.910611008709102</v>
      </c>
      <c r="E15" s="1">
        <v>17.702107407129358</v>
      </c>
      <c r="F15" s="1">
        <v>8.8782158975352417</v>
      </c>
      <c r="G15" s="1">
        <v>23.438141159628884</v>
      </c>
      <c r="H15" s="1">
        <v>212.22781415108702</v>
      </c>
      <c r="I15" s="1">
        <f>4.45632643118449*(3.6/1.055)</f>
        <v>15.206421945274073</v>
      </c>
      <c r="J15" s="1">
        <f>2.67661973645248*(3.6/1.055)</f>
        <v>9.1334891480842959</v>
      </c>
      <c r="K15" s="1">
        <f>2.63893065022072*(3.6/1.055)</f>
        <v>9.0048818396157344</v>
      </c>
      <c r="L15" s="1">
        <f>3.85231184096102*(3.6/1.055)</f>
        <v>13.145329504701122</v>
      </c>
      <c r="M15" s="1">
        <f>4.24368300530147*(3.6/1.055)</f>
        <v>14.480814046526339</v>
      </c>
      <c r="N15" s="1">
        <f>4.34721477518796*(3.6/1.055)</f>
        <v>14.834097811067931</v>
      </c>
      <c r="O15" s="1">
        <f>4.20557352612368*(3.6/1.055)</f>
        <v>14.350772221843844</v>
      </c>
    </row>
    <row r="16" spans="1:15" x14ac:dyDescent="0.45">
      <c r="A16" t="s">
        <v>265</v>
      </c>
      <c r="B16" s="1">
        <v>15.238770456499996</v>
      </c>
      <c r="C16" s="1">
        <v>15.185397197400402</v>
      </c>
      <c r="D16" s="1">
        <v>14.9106110087091</v>
      </c>
      <c r="E16" s="1">
        <v>17.932941368909802</v>
      </c>
      <c r="F16" s="1">
        <v>11.813546378717026</v>
      </c>
      <c r="G16" s="1">
        <v>27.217514599582792</v>
      </c>
      <c r="H16" s="1">
        <v>211.95245235471728</v>
      </c>
      <c r="I16" s="1">
        <f t="shared" ref="I16:I23" si="1">4.45632643118448*(3.6/1.055)</f>
        <v>15.206421945274068</v>
      </c>
      <c r="J16" s="1">
        <f>2.67670110333803*(3.6/1.055)</f>
        <v>9.1337667981202966</v>
      </c>
      <c r="K16" s="1">
        <f>2.63879694621089*(3.6/1.055)</f>
        <v>9.0044255984447279</v>
      </c>
      <c r="L16" s="1">
        <f>3.85232633079476*(3.6/1.055)</f>
        <v>13.145378948683538</v>
      </c>
      <c r="M16" s="1">
        <f>4.18359506426481*(3.6/1.055)</f>
        <v>14.275774626875185</v>
      </c>
      <c r="N16" s="1">
        <f>4.34690291457681*(3.6/1.055)</f>
        <v>14.833033642157838</v>
      </c>
      <c r="O16" s="1">
        <f>4.01511264939671*(3.6/1.055)</f>
        <v>13.700858329694929</v>
      </c>
    </row>
    <row r="17" spans="1:15" x14ac:dyDescent="0.45">
      <c r="A17" t="s">
        <v>266</v>
      </c>
      <c r="B17" s="1">
        <v>15.238770456499998</v>
      </c>
      <c r="C17" s="1">
        <v>15.185397197400402</v>
      </c>
      <c r="D17" s="1">
        <v>14.910611008709099</v>
      </c>
      <c r="E17" s="1">
        <v>18.327268757633856</v>
      </c>
      <c r="F17" s="1">
        <v>14.723813898293809</v>
      </c>
      <c r="G17" s="1">
        <v>31.252552384673894</v>
      </c>
      <c r="H17" s="1">
        <v>213.57875541031569</v>
      </c>
      <c r="I17" s="1">
        <f t="shared" si="1"/>
        <v>15.206421945274068</v>
      </c>
      <c r="J17" s="1">
        <f>2.67660309579828*(3.6/1.055)</f>
        <v>9.1334323648093054</v>
      </c>
      <c r="K17" s="1">
        <f>2.6395163855682*(3.6/1.055)</f>
        <v>9.0068805573891346</v>
      </c>
      <c r="L17" s="1">
        <f>3.7938536544143*(3.6/1.055)</f>
        <v>12.945851332598556</v>
      </c>
      <c r="M17" s="1">
        <f>4.15240669085969*(3.6/1.055)</f>
        <v>14.169349845587563</v>
      </c>
      <c r="N17" s="1">
        <f>4.18806682858825*(3.6/1.055)</f>
        <v>14.291033727884079</v>
      </c>
      <c r="O17" s="1">
        <f>3.99841206951998*(3.6/1.055)</f>
        <v>13.643870568978134</v>
      </c>
    </row>
    <row r="18" spans="1:15" x14ac:dyDescent="0.45">
      <c r="A18" t="s">
        <v>267</v>
      </c>
      <c r="B18" s="1">
        <v>15.238770456499996</v>
      </c>
      <c r="C18" s="1">
        <v>15.1853971974004</v>
      </c>
      <c r="D18" s="1">
        <v>14.910611008709099</v>
      </c>
      <c r="E18" s="1">
        <v>14.282933957662799</v>
      </c>
      <c r="F18" s="1">
        <v>15.151313532968199</v>
      </c>
      <c r="G18" s="1">
        <v>21.574545924108538</v>
      </c>
      <c r="H18" s="1">
        <v>208.34888948348322</v>
      </c>
      <c r="I18" s="1">
        <f t="shared" si="1"/>
        <v>15.206421945274068</v>
      </c>
      <c r="J18" s="1">
        <f>2.67683881291426*(3.6/1.055)</f>
        <v>9.1342367075747255</v>
      </c>
      <c r="K18" s="1">
        <f>2.61911669649212*(3.6/1.055)</f>
        <v>8.9372702439541616</v>
      </c>
      <c r="L18" s="1">
        <f>3.93046574257504*(3.6/1.055)</f>
        <v>13.412015804047543</v>
      </c>
      <c r="M18" s="1">
        <f>4.34182607147073*(3.6/1.055)</f>
        <v>14.81570981734089</v>
      </c>
      <c r="N18" s="1">
        <f>4.52321091882956*(3.6/1.055)</f>
        <v>15.434653372309384</v>
      </c>
      <c r="O18" s="1">
        <f>4.31073338225172*(3.6/1.055)</f>
        <v>14.709611541332878</v>
      </c>
    </row>
    <row r="19" spans="1:15" x14ac:dyDescent="0.45">
      <c r="A19" t="s">
        <v>268</v>
      </c>
      <c r="B19" s="1">
        <v>15.238770456499998</v>
      </c>
      <c r="C19" s="1">
        <v>15.1853971974004</v>
      </c>
      <c r="D19" s="1">
        <v>14.9106110087091</v>
      </c>
      <c r="E19" s="1">
        <v>14.503427485524497</v>
      </c>
      <c r="F19" s="1">
        <v>0.86308125627953025</v>
      </c>
      <c r="G19" s="1">
        <v>24.725296933286248</v>
      </c>
      <c r="H19" s="1">
        <v>202.50635211450211</v>
      </c>
      <c r="I19" s="1">
        <f t="shared" si="1"/>
        <v>15.206421945274064</v>
      </c>
      <c r="J19" s="1">
        <f>2.67673969326926*(3.6/1.055)</f>
        <v>9.1338984794022142</v>
      </c>
      <c r="K19" s="1">
        <f>2.61930340381485*(3.6/1.055)</f>
        <v>8.9379073495103913</v>
      </c>
      <c r="L19" s="1">
        <f>3.93041858506708*(3.6/1.055)</f>
        <v>13.411854887432675</v>
      </c>
      <c r="M19" s="1">
        <f>4.34171550025843*(3.6/1.055)</f>
        <v>14.815332512730201</v>
      </c>
      <c r="N19" s="1">
        <f>4.52421874979416*(3.6/1.055)</f>
        <v>15.438092416359233</v>
      </c>
      <c r="O19" s="1">
        <f>4.10342374239442*(3.6/1.055)</f>
        <v>14.002204239450165</v>
      </c>
    </row>
    <row r="20" spans="1:15" x14ac:dyDescent="0.45">
      <c r="A20" t="s">
        <v>269</v>
      </c>
      <c r="B20" s="1">
        <v>15.238770456499998</v>
      </c>
      <c r="C20" s="1">
        <v>15.185397197400402</v>
      </c>
      <c r="D20" s="1">
        <v>14.910611008709099</v>
      </c>
      <c r="E20" s="1">
        <v>14.115247916476326</v>
      </c>
      <c r="F20" s="1">
        <v>0.88590185001702881</v>
      </c>
      <c r="G20" s="1">
        <v>36.916538723456519</v>
      </c>
      <c r="H20" s="1">
        <v>177.32471477964907</v>
      </c>
      <c r="I20" s="1">
        <f t="shared" si="1"/>
        <v>15.206421945274068</v>
      </c>
      <c r="J20" s="1">
        <f>2.67704301150257*(3.6/1.055)</f>
        <v>9.1349334989661095</v>
      </c>
      <c r="K20" s="1">
        <f>2.61996021222587*(3.6/1.055)</f>
        <v>8.9401485914816536</v>
      </c>
      <c r="L20" s="1">
        <f>3.85440023606107*(3.6/1.055)</f>
        <v>13.152455781819771</v>
      </c>
      <c r="M20" s="1">
        <f>4.34080446211661*(3.6/1.055)</f>
        <v>14.812223756985599</v>
      </c>
      <c r="N20" s="1">
        <f>4.51949814823196*(3.6/1.055)</f>
        <v>15.421984202497692</v>
      </c>
      <c r="O20" s="1">
        <f>4.01194839258549*(3.6/1.055)</f>
        <v>13.690060865694569</v>
      </c>
    </row>
    <row r="21" spans="1:15" x14ac:dyDescent="0.45">
      <c r="A21" t="s">
        <v>270</v>
      </c>
      <c r="B21" s="1">
        <v>15.238770456499998</v>
      </c>
      <c r="C21" s="1">
        <v>15.185397197400398</v>
      </c>
      <c r="D21" s="1">
        <v>14.910611008709099</v>
      </c>
      <c r="E21" s="1">
        <v>14.861522121538098</v>
      </c>
      <c r="F21" s="1">
        <v>15.151313532968199</v>
      </c>
      <c r="G21" s="1">
        <v>22.727469110395099</v>
      </c>
      <c r="H21" s="1">
        <v>61.492379414313611</v>
      </c>
      <c r="I21" s="1">
        <f t="shared" si="1"/>
        <v>15.206421945274071</v>
      </c>
      <c r="J21" s="1">
        <f>2.67673506196756*(3.6/1.055)</f>
        <v>9.1338826759082679</v>
      </c>
      <c r="K21" s="1">
        <f>2.63837702142618*(3.6/1.055)</f>
        <v>9.0029926797481146</v>
      </c>
      <c r="L21" s="1">
        <f>3.92704067702817*(3.6/1.055)</f>
        <v>13.400328376589012</v>
      </c>
      <c r="M21" s="1">
        <f>4.42659353445052*(3.6/1.055)</f>
        <v>15.104963719452027</v>
      </c>
      <c r="N21" s="1">
        <f>4.97362653770913*(3.6/1.055)</f>
        <v>16.971616621566714</v>
      </c>
      <c r="O21" s="1">
        <f>5.05259620906567*(3.6/1.055)</f>
        <v>17.241086590176689</v>
      </c>
    </row>
    <row r="22" spans="1:15" x14ac:dyDescent="0.45">
      <c r="A22" t="s">
        <v>271</v>
      </c>
      <c r="B22" s="1">
        <v>15.238770456499998</v>
      </c>
      <c r="C22" s="1">
        <v>15.185397197400398</v>
      </c>
      <c r="D22" s="1">
        <v>14.910611008709099</v>
      </c>
      <c r="E22" s="1">
        <v>14.861522121538098</v>
      </c>
      <c r="F22" s="1">
        <v>15.151313532968199</v>
      </c>
      <c r="G22" s="1">
        <v>22.727469110395099</v>
      </c>
      <c r="H22" s="1">
        <v>61.492379414313596</v>
      </c>
      <c r="I22" s="1">
        <f t="shared" si="1"/>
        <v>15.206421945274064</v>
      </c>
      <c r="J22" s="1">
        <f>2.67683656479538*(3.6/1.055)</f>
        <v>9.1342290362685876</v>
      </c>
      <c r="K22" s="1">
        <f>2.64402962954455*(3.6/1.055)</f>
        <v>9.0222812003415829</v>
      </c>
      <c r="L22" s="1">
        <f>3.9268458655576*(3.6/1.055)</f>
        <v>13.399663617068592</v>
      </c>
      <c r="M22" s="1">
        <f>4.4271160220074*(3.6/1.055)</f>
        <v>15.106746615380718</v>
      </c>
      <c r="N22" s="1">
        <f>4.97349052697027*(3.6/1.055)</f>
        <v>16.971152509092864</v>
      </c>
      <c r="O22" s="1">
        <f>5.05349303654315*(3.6/1.055)</f>
        <v>17.244146854554831</v>
      </c>
    </row>
    <row r="23" spans="1:15" x14ac:dyDescent="0.45">
      <c r="A23" t="s">
        <v>272</v>
      </c>
      <c r="B23" s="1">
        <v>15.238770456499996</v>
      </c>
      <c r="C23" s="1">
        <v>15.1853971974004</v>
      </c>
      <c r="D23" s="1">
        <v>14.910611008709099</v>
      </c>
      <c r="E23" s="1">
        <v>14.861522121538098</v>
      </c>
      <c r="F23" s="1">
        <v>15.151313532968203</v>
      </c>
      <c r="G23" s="1">
        <v>22.727469110395099</v>
      </c>
      <c r="H23" s="1">
        <v>61.492379414313611</v>
      </c>
      <c r="I23" s="1">
        <f t="shared" si="1"/>
        <v>15.206421945274064</v>
      </c>
      <c r="J23" s="1">
        <f>2.67690210193145*(3.6/1.055)</f>
        <v>9.1344526700978452</v>
      </c>
      <c r="K23" s="1">
        <f>2.63700780818625*(3.6/1.055)</f>
        <v>8.998320482910426</v>
      </c>
      <c r="L23" s="1">
        <f>3.8475447283337*(3.6/1.055)</f>
        <v>13.129062580096024</v>
      </c>
      <c r="M23" s="1">
        <f>4.23620954088359*(3.6/1.055)</f>
        <v>14.455312177422684</v>
      </c>
      <c r="N23" s="1">
        <f>4.41930385777445*(3.6/1.055)</f>
        <v>15.080088993353586</v>
      </c>
      <c r="O23" s="1">
        <f>4.20947622915584*(3.6/1.055)</f>
        <v>14.364089502332739</v>
      </c>
    </row>
    <row r="24" spans="1:15" x14ac:dyDescent="0.45">
      <c r="A24" t="s">
        <v>273</v>
      </c>
      <c r="B24" s="1">
        <v>15.238770456499996</v>
      </c>
      <c r="C24" s="1">
        <v>15.1853971974004</v>
      </c>
      <c r="D24" s="1">
        <v>14.9106110087091</v>
      </c>
      <c r="E24" s="1">
        <v>14.861522121538098</v>
      </c>
      <c r="F24" s="1">
        <v>15.151313532968201</v>
      </c>
      <c r="G24" s="1">
        <v>22.727469110395099</v>
      </c>
      <c r="H24" s="1">
        <v>61.492379414313611</v>
      </c>
      <c r="I24" s="1">
        <f>4.45632643118449*(3.6/1.055)</f>
        <v>15.206421945274073</v>
      </c>
      <c r="J24" s="1">
        <f>2.67677050622855*(3.6/1.055)</f>
        <v>9.134003623149562</v>
      </c>
      <c r="K24" s="1">
        <f>2.63812511206968*(3.6/1.055)</f>
        <v>9.0021330838396683</v>
      </c>
      <c r="L24" s="1">
        <f>3.92729759948525*(3.6/1.055)</f>
        <v>13.401205078812232</v>
      </c>
      <c r="M24" s="1">
        <f>4.45148277895217*(3.6/1.055)</f>
        <v>15.189893842869958</v>
      </c>
      <c r="N24" s="1">
        <f>4.97407909794643*(3.6/1.055)</f>
        <v>16.973160902945164</v>
      </c>
      <c r="O24" s="1">
        <f>5.05258372729793*(3.6/1.055)</f>
        <v>17.241043998362606</v>
      </c>
    </row>
    <row r="25" spans="1:15" x14ac:dyDescent="0.45">
      <c r="A25" t="s">
        <v>274</v>
      </c>
      <c r="B25" s="1">
        <v>15.238770456499999</v>
      </c>
      <c r="C25" s="1">
        <v>15.1853971974004</v>
      </c>
      <c r="D25" s="1">
        <v>14.910611008709099</v>
      </c>
      <c r="E25" s="1">
        <v>14.861522121538101</v>
      </c>
      <c r="F25" s="1">
        <v>15.151313532968196</v>
      </c>
      <c r="G25" s="1">
        <v>22.727469110395099</v>
      </c>
      <c r="H25" s="1">
        <v>61.492379414313589</v>
      </c>
      <c r="I25" s="1">
        <f>4.45632643118448*(3.6/1.055)</f>
        <v>15.206421945274064</v>
      </c>
      <c r="J25" s="1">
        <f>2.67681456481812*(3.6/1.055)</f>
        <v>9.134153965256143</v>
      </c>
      <c r="K25" s="1">
        <f>2.64059225263973*(3.6/1.055)</f>
        <v>9.010551762562125</v>
      </c>
      <c r="L25" s="1">
        <f>3.92674998948581*(3.6/1.055)</f>
        <v>13.399336457013206</v>
      </c>
      <c r="M25" s="1">
        <f>4.44505288409755*(3.6/1.055)</f>
        <v>15.167952969432388</v>
      </c>
      <c r="N25" s="1">
        <f>4.97393598362628*(3.6/1.055)</f>
        <v>16.972672550762653</v>
      </c>
      <c r="O25" s="1">
        <f>5.05347057761858*(3.6/1.055)</f>
        <v>17.244070217466241</v>
      </c>
    </row>
    <row r="26" spans="1:15" x14ac:dyDescent="0.45">
      <c r="A26" t="s">
        <v>275</v>
      </c>
      <c r="B26" s="1">
        <v>15.238770456499999</v>
      </c>
      <c r="C26" s="1">
        <v>15.1853971974004</v>
      </c>
      <c r="D26" s="1">
        <v>14.910611008709104</v>
      </c>
      <c r="E26" s="1">
        <v>14.861522121538098</v>
      </c>
      <c r="F26" s="1">
        <v>15.151313532968199</v>
      </c>
      <c r="G26" s="1">
        <v>22.727469110395099</v>
      </c>
      <c r="H26" s="1">
        <v>61.492379414313589</v>
      </c>
      <c r="I26" s="1">
        <f>4.45632643118448*(3.6/1.055)</f>
        <v>15.206421945274064</v>
      </c>
      <c r="J26" s="1">
        <f>2.67688907239819*(3.6/1.055)</f>
        <v>9.1344082091312586</v>
      </c>
      <c r="K26" s="1">
        <f>2.63689810362416*(3.6/1.055)</f>
        <v>8.9979461355895438</v>
      </c>
      <c r="L26" s="1">
        <f>3.84750183925631*(3.6/1.055)</f>
        <v>13.128916228741923</v>
      </c>
      <c r="M26" s="1">
        <f>4.23696864133067*(3.6/1.055)</f>
        <v>14.45790247278711</v>
      </c>
      <c r="N26" s="1">
        <f>4.42013000846932*(3.6/1.055)</f>
        <v>15.082908085772081</v>
      </c>
      <c r="O26" s="1">
        <f>4.21025190854185*(3.6/1.055)</f>
        <v>14.36673637037978</v>
      </c>
    </row>
    <row r="27" spans="1:15" x14ac:dyDescent="0.45">
      <c r="A27" t="s">
        <v>276</v>
      </c>
      <c r="B27" s="1">
        <v>15.238770456499999</v>
      </c>
      <c r="C27" s="1">
        <v>15.1853971974004</v>
      </c>
      <c r="D27" s="1">
        <v>14.910611008709099</v>
      </c>
      <c r="E27" s="1">
        <v>14.861522121538099</v>
      </c>
      <c r="F27" s="1">
        <v>15.151313532968199</v>
      </c>
      <c r="G27" s="1">
        <v>22.727469110395095</v>
      </c>
      <c r="H27" s="1">
        <v>61.492379414313589</v>
      </c>
      <c r="I27" s="1">
        <f>4.45632643118449*(3.6/1.055)</f>
        <v>15.206421945274077</v>
      </c>
      <c r="J27" s="1">
        <f>2.67669402921649*(3.6/1.055)</f>
        <v>9.1337426589378037</v>
      </c>
      <c r="K27" s="1">
        <f>2.63651510486797*(3.6/1.055)</f>
        <v>8.9966392204025496</v>
      </c>
      <c r="L27" s="1">
        <f>3.92885399978229*(3.6/1.055)</f>
        <v>13.406516018214456</v>
      </c>
      <c r="M27" s="1">
        <f>4.5181943381739*(3.6/1.055)</f>
        <v>15.417535182394344</v>
      </c>
      <c r="N27" s="1">
        <f>5.29137262443153*(3.6/1.055)</f>
        <v>18.055868671045989</v>
      </c>
      <c r="O27" s="1">
        <f>5.05475018662553*(3.6/1.055)</f>
        <v>17.248436655783806</v>
      </c>
    </row>
    <row r="28" spans="1:15" x14ac:dyDescent="0.45">
      <c r="A28" t="s">
        <v>277</v>
      </c>
      <c r="B28" s="1">
        <v>15.238770456499996</v>
      </c>
      <c r="C28" s="1">
        <v>15.1853971974004</v>
      </c>
      <c r="D28" s="1">
        <v>14.9106110087091</v>
      </c>
      <c r="E28" s="1">
        <v>14.861522121538103</v>
      </c>
      <c r="F28" s="1">
        <v>15.151313532968199</v>
      </c>
      <c r="G28" s="1">
        <v>22.727469110395102</v>
      </c>
      <c r="H28" s="1">
        <v>61.492379414313618</v>
      </c>
      <c r="I28" s="1">
        <f t="shared" ref="I28:I43" si="2">4.45632643118448*(3.6/1.055)</f>
        <v>15.206421945274068</v>
      </c>
      <c r="J28" s="1">
        <f>2.67669191868884*(3.6/1.055)</f>
        <v>9.1337354571372806</v>
      </c>
      <c r="K28" s="1">
        <f>2.63643211871005*(3.6/1.055)</f>
        <v>8.9963560448873672</v>
      </c>
      <c r="L28" s="1">
        <f>3.92877280680483*(3.6/1.055)</f>
        <v>13.406238961608913</v>
      </c>
      <c r="M28" s="1">
        <f>4.5182102472535*(3.6/1.055)</f>
        <v>15.417589469301056</v>
      </c>
      <c r="N28" s="1">
        <f>5.26332176313858*(3.6/1.055)</f>
        <v>17.960150092226431</v>
      </c>
      <c r="O28" s="1">
        <f>5.05570951058255*(3.6/1.055)</f>
        <v>17.251710178291162</v>
      </c>
    </row>
    <row r="29" spans="1:15" x14ac:dyDescent="0.45">
      <c r="A29" t="s">
        <v>278</v>
      </c>
      <c r="B29" s="1">
        <v>15.238770456499999</v>
      </c>
      <c r="C29" s="1">
        <v>15.185397197400402</v>
      </c>
      <c r="D29" s="1">
        <v>14.910611008709099</v>
      </c>
      <c r="E29" s="1">
        <v>14.861522121538099</v>
      </c>
      <c r="F29" s="1">
        <v>15.151313532968198</v>
      </c>
      <c r="G29" s="1">
        <v>22.727469110395106</v>
      </c>
      <c r="H29" s="1">
        <v>61.492379414313596</v>
      </c>
      <c r="I29" s="1">
        <f t="shared" si="2"/>
        <v>15.206421945274064</v>
      </c>
      <c r="J29" s="1">
        <f>2.67690142131337*(3.6/1.055)</f>
        <v>9.1344503476096026</v>
      </c>
      <c r="K29" s="1">
        <f>2.635773141542*(3.6/1.055)</f>
        <v>8.9941074024182033</v>
      </c>
      <c r="L29" s="1">
        <f>3.92721672292083*(3.6/1.055)</f>
        <v>13.400929101909954</v>
      </c>
      <c r="M29" s="1">
        <f>4.4227449551096*(3.6/1.055)</f>
        <v>15.091831126440342</v>
      </c>
      <c r="N29" s="1">
        <f>4.69517684302887*(3.6/1.055)</f>
        <v>16.021456525975296</v>
      </c>
      <c r="O29" s="1">
        <f>4.29698512638217*(3.6/1.055)</f>
        <v>14.662698061588447</v>
      </c>
    </row>
    <row r="30" spans="1:15" x14ac:dyDescent="0.45">
      <c r="A30" t="s">
        <v>279</v>
      </c>
      <c r="B30" s="1">
        <v>15.238770456499996</v>
      </c>
      <c r="C30" s="1">
        <v>15.185397197400398</v>
      </c>
      <c r="D30" s="1">
        <v>14.910611008709099</v>
      </c>
      <c r="E30" s="1">
        <v>15.922208354656178</v>
      </c>
      <c r="F30" s="1">
        <v>20.727575519772735</v>
      </c>
      <c r="G30" s="1">
        <v>79.79932331568709</v>
      </c>
      <c r="H30" s="1">
        <v>217.28723414963943</v>
      </c>
      <c r="I30" s="1">
        <f t="shared" si="2"/>
        <v>15.206421945274064</v>
      </c>
      <c r="J30" s="1">
        <f>2.67620941934096*(3.6/1.055)</f>
        <v>9.1320890138648725</v>
      </c>
      <c r="K30" s="1">
        <f>2.6366439941069*(3.6/1.055)</f>
        <v>8.9970790320235494</v>
      </c>
      <c r="L30" s="1">
        <f>4.01014261316033*(3.6/1.055)</f>
        <v>13.683898964338569</v>
      </c>
      <c r="M30" s="1">
        <f>4.51847144478136*(3.6/1.055)</f>
        <v>15.41848075944351</v>
      </c>
      <c r="N30" s="1">
        <f>4.79829159137651*(3.6/1.055)</f>
        <v>16.373317278630761</v>
      </c>
      <c r="O30" s="1">
        <f>4.39578317645204*(3.6/1.055)</f>
        <v>14.999828848556719</v>
      </c>
    </row>
    <row r="31" spans="1:15" x14ac:dyDescent="0.45">
      <c r="A31" t="s">
        <v>280</v>
      </c>
      <c r="B31" s="1">
        <v>15.238770456499996</v>
      </c>
      <c r="C31" s="1">
        <v>15.1853971974004</v>
      </c>
      <c r="D31" s="1">
        <v>14.910611008709099</v>
      </c>
      <c r="E31" s="1">
        <v>16.495280641697462</v>
      </c>
      <c r="F31" s="1">
        <v>24.841396666515475</v>
      </c>
      <c r="G31" s="1">
        <v>71.936050091264562</v>
      </c>
      <c r="H31" s="1">
        <v>214.40419268766033</v>
      </c>
      <c r="I31" s="1">
        <f t="shared" si="2"/>
        <v>15.206421945274061</v>
      </c>
      <c r="J31" s="1">
        <f>2.6762727259736*(3.6/1.055)</f>
        <v>9.1323050364976037</v>
      </c>
      <c r="K31" s="1">
        <f>2.63836720178255*(3.6/1.055)</f>
        <v>9.0029591719594162</v>
      </c>
      <c r="L31" s="1">
        <f>3.93214230466407*(3.6/1.055)</f>
        <v>13.417736774209137</v>
      </c>
      <c r="M31" s="1">
        <f>4.51760086657349*(3.6/1.055)</f>
        <v>15.415510066032766</v>
      </c>
      <c r="N31" s="1">
        <f>4.70959405506545*(3.6/1.055)</f>
        <v>16.070652699749417</v>
      </c>
      <c r="O31" s="1">
        <f>4.05134882438676*(3.6/1.055)</f>
        <v>13.824507836769971</v>
      </c>
    </row>
    <row r="32" spans="1:15" x14ac:dyDescent="0.45">
      <c r="A32" t="s">
        <v>281</v>
      </c>
      <c r="B32" s="1">
        <v>15.238770456499996</v>
      </c>
      <c r="C32" s="1">
        <v>15.1853971974004</v>
      </c>
      <c r="D32" s="1">
        <v>14.910611008709102</v>
      </c>
      <c r="E32" s="1">
        <v>26.832638976602738</v>
      </c>
      <c r="F32" s="1">
        <v>26.140747557821364</v>
      </c>
      <c r="G32" s="1">
        <v>19.420805852224255</v>
      </c>
      <c r="H32" s="1">
        <v>202.65750116134473</v>
      </c>
      <c r="I32" s="1">
        <f t="shared" si="2"/>
        <v>15.206421945274059</v>
      </c>
      <c r="J32" s="1">
        <f>2.67662575420742*(3.6/1.055)</f>
        <v>9.1335096826035276</v>
      </c>
      <c r="K32" s="1">
        <f>2.64274416799464*(3.6/1.055)</f>
        <v>9.0178947912613303</v>
      </c>
      <c r="L32" s="1">
        <f>3.76830919879249*(3.6/1.055)</f>
        <v>12.858685417680539</v>
      </c>
      <c r="M32" s="1">
        <f>3.82513640227848*(3.6/1.055)</f>
        <v>13.052598149955005</v>
      </c>
      <c r="N32" s="1">
        <f>3.96981031054977*(3.6/1.055)</f>
        <v>13.54627214974329</v>
      </c>
      <c r="O32" s="1">
        <f>3.94598885766484*(3.6/1.055)</f>
        <v>13.464985675443994</v>
      </c>
    </row>
    <row r="33" spans="1:15" x14ac:dyDescent="0.45">
      <c r="A33" t="s">
        <v>282</v>
      </c>
      <c r="B33" s="1">
        <v>15.238770456499996</v>
      </c>
      <c r="C33" s="1">
        <v>15.1853971974004</v>
      </c>
      <c r="D33" s="1">
        <v>14.9106110087091</v>
      </c>
      <c r="E33" s="1">
        <v>10.26319558597719</v>
      </c>
      <c r="F33" s="1">
        <v>7.383479663818667</v>
      </c>
      <c r="G33" s="1">
        <v>70.515319528449751</v>
      </c>
      <c r="H33" s="1">
        <v>214.73836525763753</v>
      </c>
      <c r="I33" s="1">
        <f t="shared" si="2"/>
        <v>15.206421945274064</v>
      </c>
      <c r="J33" s="1">
        <f>2.67649510094313*(3.6/1.055)</f>
        <v>9.1330638515594931</v>
      </c>
      <c r="K33" s="1">
        <f>2.61956044477552*(3.6/1.055)</f>
        <v>8.9387844561060543</v>
      </c>
      <c r="L33" s="1">
        <f>3.97019908033707*(3.6/1.055)</f>
        <v>13.547598757548279</v>
      </c>
      <c r="M33" s="1">
        <f>4.61143364351149*(3.6/1.055)</f>
        <v>15.735697740892277</v>
      </c>
      <c r="N33" s="1">
        <f>4.97968208186392*(3.6/1.055)</f>
        <v>16.992280089772631</v>
      </c>
      <c r="O33" s="1">
        <f>4.49766302264811*(3.6/1.055)</f>
        <v>15.347475717093081</v>
      </c>
    </row>
    <row r="34" spans="1:15" x14ac:dyDescent="0.45">
      <c r="A34" t="s">
        <v>283</v>
      </c>
      <c r="B34" s="1">
        <v>15.238770456499998</v>
      </c>
      <c r="C34" s="1">
        <v>15.1853971974004</v>
      </c>
      <c r="D34" s="1">
        <v>14.910611008709099</v>
      </c>
      <c r="E34" s="1">
        <v>10.020958844418725</v>
      </c>
      <c r="F34" s="1">
        <v>8.245631816733864</v>
      </c>
      <c r="G34" s="1">
        <v>69.030322232926054</v>
      </c>
      <c r="H34" s="1">
        <v>192.9084619152369</v>
      </c>
      <c r="I34" s="1">
        <f t="shared" si="2"/>
        <v>15.206421945274064</v>
      </c>
      <c r="J34" s="1">
        <f>2.67641924616703*(3.6/1.055)</f>
        <v>9.1328050106173713</v>
      </c>
      <c r="K34" s="1">
        <f>2.61962317199498*(3.6/1.055)</f>
        <v>8.9389985015942486</v>
      </c>
      <c r="L34" s="1">
        <f>3.96243245132853*(3.6/1.055)</f>
        <v>13.5210965163817</v>
      </c>
      <c r="M34" s="1">
        <f>4.61126091537428*(3.6/1.055)</f>
        <v>15.735108336822195</v>
      </c>
      <c r="N34" s="1">
        <f>4.8896820660255*(3.6/1.055)</f>
        <v>16.685171030987505</v>
      </c>
      <c r="O34" s="1">
        <f>4.05766555625329*(3.6/1.055)</f>
        <v>13.846062561622588</v>
      </c>
    </row>
    <row r="35" spans="1:15" x14ac:dyDescent="0.45">
      <c r="A35" t="s">
        <v>284</v>
      </c>
      <c r="B35" s="1">
        <v>15.238770456499998</v>
      </c>
      <c r="C35" s="1">
        <v>15.1853971974004</v>
      </c>
      <c r="D35" s="1">
        <v>14.9106110087091</v>
      </c>
      <c r="E35" s="1">
        <v>24.760117202540716</v>
      </c>
      <c r="F35" s="1">
        <v>14.078070280672174</v>
      </c>
      <c r="G35" s="1">
        <v>18.055833656767945</v>
      </c>
      <c r="H35" s="1">
        <v>162.06501382270574</v>
      </c>
      <c r="I35" s="1">
        <f t="shared" si="2"/>
        <v>15.206421945274055</v>
      </c>
      <c r="J35" s="1">
        <f>2.67650891753157*(3.6/1.055)</f>
        <v>9.1331109982120058</v>
      </c>
      <c r="K35" s="1">
        <f>2.63292393547967*(3.6/1.055)</f>
        <v>8.9843849931059694</v>
      </c>
      <c r="L35" s="1">
        <f>3.92994484353064*(3.6/1.055)</f>
        <v>13.410238328635371</v>
      </c>
      <c r="M35" s="1">
        <f>4.23689339518192*(3.6/1.055)</f>
        <v>14.457645708677646</v>
      </c>
      <c r="N35" s="1">
        <f>4.42575819449143*(3.6/1.055)</f>
        <v>15.102113270302501</v>
      </c>
      <c r="O35" s="1">
        <f>3.99592109630087*(3.6/1.055)</f>
        <v>13.635370565576439</v>
      </c>
    </row>
    <row r="36" spans="1:15" x14ac:dyDescent="0.45">
      <c r="A36" t="s">
        <v>285</v>
      </c>
      <c r="B36" s="1">
        <v>15.238770456499998</v>
      </c>
      <c r="C36" s="1">
        <v>15.1853971974004</v>
      </c>
      <c r="D36" s="1">
        <v>14.910611008709099</v>
      </c>
      <c r="E36" s="1">
        <v>7.8278478338842215</v>
      </c>
      <c r="F36" s="1">
        <v>15.151313532968201</v>
      </c>
      <c r="G36" s="1">
        <v>60.774942858402142</v>
      </c>
      <c r="H36" s="1">
        <v>212.13505666864637</v>
      </c>
      <c r="I36" s="1">
        <f t="shared" si="2"/>
        <v>15.206421945274061</v>
      </c>
      <c r="J36" s="1">
        <f>2.67655091915955*(3.6/1.055)</f>
        <v>9.1332543213027311</v>
      </c>
      <c r="K36" s="1">
        <f>2.61856840257977*(3.6/1.055)</f>
        <v>8.935399288423854</v>
      </c>
      <c r="L36" s="1">
        <f>3.93084903170913*(3.6/1.055)</f>
        <v>13.413323710097522</v>
      </c>
      <c r="M36" s="1">
        <f>4.6115257021949*(3.6/1.055)</f>
        <v>15.73601187478827</v>
      </c>
      <c r="N36" s="1">
        <f>5.88774030914323*(3.6/1.055)</f>
        <v>20.090867405607234</v>
      </c>
      <c r="O36" s="1">
        <f>4.60716225500091*(3.6/1.055)</f>
        <v>15.721122386732958</v>
      </c>
    </row>
    <row r="37" spans="1:15" x14ac:dyDescent="0.45">
      <c r="A37" t="s">
        <v>286</v>
      </c>
      <c r="B37" s="1">
        <v>15.238770456499996</v>
      </c>
      <c r="C37" s="1">
        <v>15.185397197400398</v>
      </c>
      <c r="D37" s="1">
        <v>14.910611008709099</v>
      </c>
      <c r="E37" s="1">
        <v>7.8116387385461703</v>
      </c>
      <c r="F37" s="1">
        <v>0.3932361944350885</v>
      </c>
      <c r="G37" s="1">
        <v>61.635113636655696</v>
      </c>
      <c r="H37" s="1">
        <v>179.64786087474079</v>
      </c>
      <c r="I37" s="1">
        <f t="shared" si="2"/>
        <v>15.206421945274059</v>
      </c>
      <c r="J37" s="1">
        <f>2.67659188264876*(3.6/1.055)</f>
        <v>9.1333941019294045</v>
      </c>
      <c r="K37" s="1">
        <f>2.61817117028272*(3.6/1.055)</f>
        <v>8.934043803808347</v>
      </c>
      <c r="L37" s="1">
        <f>3.93077011946994*(3.6/1.055)</f>
        <v>13.413054436105948</v>
      </c>
      <c r="M37" s="1">
        <f>4.61098244354144*(3.6/1.055)</f>
        <v>15.734158101184066</v>
      </c>
      <c r="N37" s="1">
        <f>5.63498050385951*(3.6/1.055)</f>
        <v>19.228369491842876</v>
      </c>
      <c r="O37" s="1">
        <f>4.10481805489916*(3.6/1.055)</f>
        <v>14.006962083068208</v>
      </c>
    </row>
    <row r="38" spans="1:15" x14ac:dyDescent="0.45">
      <c r="A38" t="s">
        <v>287</v>
      </c>
      <c r="B38" s="1">
        <v>15.238770456499996</v>
      </c>
      <c r="C38" s="1">
        <v>15.1853971974004</v>
      </c>
      <c r="D38" s="1">
        <v>14.9106110087091</v>
      </c>
      <c r="E38" s="1">
        <v>12.580921502815997</v>
      </c>
      <c r="F38" s="1">
        <v>4.4671740972100373</v>
      </c>
      <c r="G38" s="1">
        <v>24.747990953225237</v>
      </c>
      <c r="H38" s="1">
        <v>143.54685153708695</v>
      </c>
      <c r="I38" s="1">
        <f t="shared" si="2"/>
        <v>15.206421945274061</v>
      </c>
      <c r="J38" s="1">
        <f>2.6766606053725*(3.6/1.055)</f>
        <v>9.1336286060104328</v>
      </c>
      <c r="K38" s="1">
        <f>2.61885195464632*(3.6/1.055)</f>
        <v>8.936366859456621</v>
      </c>
      <c r="L38" s="1">
        <f>3.92971951963814*(3.6/1.055)</f>
        <v>13.409469450897923</v>
      </c>
      <c r="M38" s="1">
        <f>4.51828058097008*(3.6/1.055)</f>
        <v>15.417829470608792</v>
      </c>
      <c r="N38" s="1">
        <f>4.88058627166108*(3.6/1.055)</f>
        <v>16.654133249270021</v>
      </c>
      <c r="O38" s="1">
        <f>4.04914470560271*(3.6/1.055)</f>
        <v>13.816986673146687</v>
      </c>
    </row>
    <row r="39" spans="1:15" x14ac:dyDescent="0.45">
      <c r="A39" t="s">
        <v>288</v>
      </c>
      <c r="B39" s="1">
        <v>15.238770456499996</v>
      </c>
      <c r="C39" s="1">
        <v>15.185397197400398</v>
      </c>
      <c r="D39" s="1">
        <v>14.9106110087091</v>
      </c>
      <c r="E39" s="1">
        <v>14.861522121538099</v>
      </c>
      <c r="F39" s="1">
        <v>15.151313532968198</v>
      </c>
      <c r="G39" s="1">
        <v>22.727469110395102</v>
      </c>
      <c r="H39" s="1">
        <v>61.492379414313596</v>
      </c>
      <c r="I39" s="1">
        <f t="shared" si="2"/>
        <v>15.206421945274059</v>
      </c>
      <c r="J39" s="1">
        <f>2.67588764616384*(3.6/1.055)</f>
        <v>9.1309910200851316</v>
      </c>
      <c r="K39" s="1">
        <f>2.59936215404741*(3.6/1.055)</f>
        <v>8.8698613787399783</v>
      </c>
      <c r="L39" s="1">
        <f>3.63331914972624*(3.6/1.055)</f>
        <v>12.398055866364407</v>
      </c>
      <c r="M39" s="1">
        <f>3.79852189605019*(3.6/1.055)</f>
        <v>12.961780877517228</v>
      </c>
      <c r="N39" s="1">
        <f>3.96976088547734*(3.6/1.055)</f>
        <v>13.546103495467715</v>
      </c>
      <c r="O39" s="1">
        <f>4.14104085003686*(3.6/1.055)</f>
        <v>14.13056593377507</v>
      </c>
    </row>
    <row r="40" spans="1:15" x14ac:dyDescent="0.45">
      <c r="A40" t="s">
        <v>289</v>
      </c>
      <c r="B40" s="1">
        <v>15.238770456499998</v>
      </c>
      <c r="C40" s="1">
        <v>15.1853971974004</v>
      </c>
      <c r="D40" s="1">
        <v>14.910611008709102</v>
      </c>
      <c r="E40" s="1">
        <v>14.861522121538098</v>
      </c>
      <c r="F40" s="1">
        <v>15.151313532968199</v>
      </c>
      <c r="G40" s="1">
        <v>22.727469110395102</v>
      </c>
      <c r="H40" s="1">
        <v>61.492379414313596</v>
      </c>
      <c r="I40" s="1">
        <f t="shared" si="2"/>
        <v>15.206421945274059</v>
      </c>
      <c r="J40" s="1">
        <f>2.67588764581922*(3.6/1.055)</f>
        <v>9.1309910189091976</v>
      </c>
      <c r="K40" s="1">
        <f>2.59936215357247*(3.6/1.055)</f>
        <v>8.8698613771193422</v>
      </c>
      <c r="L40" s="1">
        <f>3.63331914917689*(3.6/1.055)</f>
        <v>12.39805586448986</v>
      </c>
      <c r="M40" s="1">
        <f>3.79852189673288*(3.6/1.055)</f>
        <v>12.961780879846778</v>
      </c>
      <c r="N40" s="1">
        <f>3.96976088705917*(3.6/1.055)</f>
        <v>13.546103500865419</v>
      </c>
      <c r="O40" s="1">
        <f>4.14104085090237*(3.6/1.055)</f>
        <v>14.130565936728477</v>
      </c>
    </row>
    <row r="41" spans="1:15" x14ac:dyDescent="0.45">
      <c r="A41" t="s">
        <v>290</v>
      </c>
      <c r="B41" s="1">
        <v>15.238770456499998</v>
      </c>
      <c r="C41" s="1">
        <v>15.1853971974004</v>
      </c>
      <c r="D41" s="1">
        <v>14.9106110087091</v>
      </c>
      <c r="E41" s="1">
        <v>14.861522121538101</v>
      </c>
      <c r="F41" s="1">
        <v>15.151313532968201</v>
      </c>
      <c r="G41" s="1">
        <v>22.727469110395102</v>
      </c>
      <c r="H41" s="1">
        <v>61.492379414313596</v>
      </c>
      <c r="I41" s="1">
        <f t="shared" si="2"/>
        <v>15.206421945274068</v>
      </c>
      <c r="J41" s="1">
        <f>2.67589255432493*(3.6/1.055)</f>
        <v>9.1310077683125499</v>
      </c>
      <c r="K41" s="1">
        <f>2.5993535124867*(3.6/1.055)</f>
        <v>8.8698318909498735</v>
      </c>
      <c r="L41" s="1">
        <f>3.63330488948344*(3.6/1.055)</f>
        <v>12.398007205820274</v>
      </c>
      <c r="M41" s="1">
        <f>3.79848670715707*(3.6/1.055)</f>
        <v>12.961660801673405</v>
      </c>
      <c r="N41" s="1">
        <f>3.96983017161939*(3.6/1.055)</f>
        <v>13.546339922113575</v>
      </c>
      <c r="O41" s="1">
        <f>4.14084903253766*(3.6/1.055)</f>
        <v>14.129911390649838</v>
      </c>
    </row>
    <row r="42" spans="1:15" x14ac:dyDescent="0.45">
      <c r="A42" t="s">
        <v>291</v>
      </c>
      <c r="B42" s="1">
        <v>15.238770456499998</v>
      </c>
      <c r="C42" s="1">
        <v>15.185397197400398</v>
      </c>
      <c r="D42" s="1">
        <v>14.9106110087091</v>
      </c>
      <c r="E42" s="1">
        <v>14.861522121538098</v>
      </c>
      <c r="F42" s="1">
        <v>15.151313532968199</v>
      </c>
      <c r="G42" s="1">
        <v>22.727469110395102</v>
      </c>
      <c r="H42" s="1">
        <v>61.492379414313589</v>
      </c>
      <c r="I42" s="1">
        <f t="shared" si="2"/>
        <v>15.206421945274068</v>
      </c>
      <c r="J42" s="1">
        <f>2.67588764599314*(3.6/1.055)</f>
        <v>9.1309910195026571</v>
      </c>
      <c r="K42" s="1">
        <f>2.59936215365115*(3.6/1.055)</f>
        <v>8.8698613773877941</v>
      </c>
      <c r="L42" s="1">
        <f>3.63331914923511*(3.6/1.055)</f>
        <v>12.398055864688514</v>
      </c>
      <c r="M42" s="1">
        <f>3.79852189782887*(3.6/1.055)</f>
        <v>12.96178088358665</v>
      </c>
      <c r="N42" s="1">
        <f>3.96976088817755*(3.6/1.055)</f>
        <v>13.546103504681698</v>
      </c>
      <c r="O42" s="1">
        <f>4.14104085334924*(3.6/1.055)</f>
        <v>14.130565945077972</v>
      </c>
    </row>
    <row r="43" spans="1:15" x14ac:dyDescent="0.45">
      <c r="A43" t="s">
        <v>292</v>
      </c>
      <c r="B43" s="1">
        <v>15.238770456499998</v>
      </c>
      <c r="C43" s="1">
        <v>15.185397197400398</v>
      </c>
      <c r="D43" s="1">
        <v>14.9106110087091</v>
      </c>
      <c r="E43" s="1">
        <v>14.861522121538099</v>
      </c>
      <c r="F43" s="1">
        <v>15.151313532968199</v>
      </c>
      <c r="G43" s="1">
        <v>22.727469110395102</v>
      </c>
      <c r="H43" s="1">
        <v>61.492379414313596</v>
      </c>
      <c r="I43" s="1">
        <f t="shared" si="2"/>
        <v>15.206421945274071</v>
      </c>
      <c r="J43" s="1">
        <f>2.67588762063926*(3.6/1.055)</f>
        <v>9.1309909329870322</v>
      </c>
      <c r="K43" s="1">
        <f>2.59936210778413*(3.6/1.055)</f>
        <v>8.8698612208747587</v>
      </c>
      <c r="L43" s="1">
        <f>3.63331905848647*(3.6/1.055)</f>
        <v>12.398055555024936</v>
      </c>
      <c r="M43" s="1">
        <f>3.79852182327132*(3.6/1.055)</f>
        <v>12.961780629172292</v>
      </c>
      <c r="N43" s="1">
        <f>3.96976063088788*(3.6/1.055)</f>
        <v>13.546102626726423</v>
      </c>
      <c r="O43" s="1">
        <f>4.14104066291018*(3.6/1.055)</f>
        <v>14.130565295238533</v>
      </c>
    </row>
    <row r="44" spans="1:15" x14ac:dyDescent="0.45">
      <c r="A44" t="s">
        <v>293</v>
      </c>
      <c r="B44" s="1">
        <v>15.238770456499999</v>
      </c>
      <c r="C44" s="1">
        <v>15.1853971974004</v>
      </c>
      <c r="D44" s="1">
        <v>14.910611008709102</v>
      </c>
      <c r="E44" s="1">
        <v>14.861522121538099</v>
      </c>
      <c r="F44" s="1">
        <v>15.151313532968199</v>
      </c>
      <c r="G44" s="1">
        <v>22.727469110395102</v>
      </c>
      <c r="H44" s="1">
        <v>61.492379414313589</v>
      </c>
      <c r="I44" s="1">
        <f>4.45632643118449*(3.6/1.055)</f>
        <v>15.206421945274073</v>
      </c>
      <c r="J44" s="1">
        <f>2.67589255510698*(3.6/1.055)</f>
        <v>9.1310077709811655</v>
      </c>
      <c r="K44" s="1">
        <f>2.59935351158262*(3.6/1.055)</f>
        <v>8.8698318878648497</v>
      </c>
      <c r="L44" s="1">
        <f>3.63330488835305*(3.6/1.055)</f>
        <v>12.398007201963001</v>
      </c>
      <c r="M44" s="1">
        <f>3.7984867016957*(3.6/1.055)</f>
        <v>12.961660783037456</v>
      </c>
      <c r="N44" s="1">
        <f>3.96983016819863*(3.6/1.055)</f>
        <v>13.546339910440837</v>
      </c>
      <c r="O44" s="1">
        <f>4.14084903632007*(3.6/1.055)</f>
        <v>14.129911403556644</v>
      </c>
    </row>
    <row r="45" spans="1:15" x14ac:dyDescent="0.45">
      <c r="A45" t="s">
        <v>294</v>
      </c>
      <c r="B45" s="1">
        <v>15.238770456499996</v>
      </c>
      <c r="C45" s="1">
        <v>15.185397197400398</v>
      </c>
      <c r="D45" s="1">
        <v>14.910611008709099</v>
      </c>
      <c r="E45" s="1">
        <v>14.861522121538098</v>
      </c>
      <c r="F45" s="1">
        <v>15.151313532968198</v>
      </c>
      <c r="G45" s="1">
        <v>22.727469110395102</v>
      </c>
      <c r="H45" s="1">
        <v>61.492379414313589</v>
      </c>
      <c r="I45" s="1">
        <f>4.45632643118448*(3.6/1.055)</f>
        <v>15.206421945274061</v>
      </c>
      <c r="J45" s="1">
        <f>2.67586845729905*(3.6/1.055)</f>
        <v>9.1309255414943795</v>
      </c>
      <c r="K45" s="1">
        <f>2.59921750641285*(3.6/1.055)</f>
        <v>8.8693677943945701</v>
      </c>
      <c r="L45" s="1">
        <f>3.63322394989519*(3.6/1.055)</f>
        <v>12.397731013860367</v>
      </c>
      <c r="M45" s="1">
        <f>3.7963798291022*(3.6/1.055)</f>
        <v>12.95447145475633</v>
      </c>
      <c r="N45" s="1">
        <f>3.96780098298282*(3.6/1.055)</f>
        <v>13.53941567652906</v>
      </c>
      <c r="O45" s="1">
        <f>4.14072491291009*(3.6/1.055)</f>
        <v>14.129487854479935</v>
      </c>
    </row>
    <row r="46" spans="1:15" x14ac:dyDescent="0.45">
      <c r="A46" t="s">
        <v>295</v>
      </c>
      <c r="B46" s="1">
        <v>15.238770456499996</v>
      </c>
      <c r="C46" s="1">
        <v>15.1853971974004</v>
      </c>
      <c r="D46" s="1">
        <v>14.910611008709099</v>
      </c>
      <c r="E46" s="1">
        <v>14.861522121538099</v>
      </c>
      <c r="F46" s="1">
        <v>15.151313532968199</v>
      </c>
      <c r="G46" s="1">
        <v>22.727469110395102</v>
      </c>
      <c r="H46" s="1">
        <v>61.492379414313596</v>
      </c>
      <c r="I46" s="1">
        <f>4.45632643118448*(3.6/1.055)</f>
        <v>15.206421945274059</v>
      </c>
      <c r="J46" s="1">
        <f>2.67586845720868*(3.6/1.055)</f>
        <v>9.1309255411860093</v>
      </c>
      <c r="K46" s="1">
        <f>2.59921750658744*(3.6/1.055)</f>
        <v>8.8693677949903176</v>
      </c>
      <c r="L46" s="1">
        <f>3.6332239499381*(3.6/1.055)</f>
        <v>12.397731014006796</v>
      </c>
      <c r="M46" s="1">
        <f>3.79637983084*(3.6/1.055)</f>
        <v>12.954471460686257</v>
      </c>
      <c r="N46" s="1">
        <f>3.96780098539663*(3.6/1.055)</f>
        <v>13.539415684765769</v>
      </c>
      <c r="O46" s="1">
        <f>4.14072491707319*(3.6/1.055)</f>
        <v>14.129487868685763</v>
      </c>
    </row>
    <row r="47" spans="1:15" x14ac:dyDescent="0.45">
      <c r="A47" t="s">
        <v>296</v>
      </c>
      <c r="B47" s="1">
        <v>15.238770456499999</v>
      </c>
      <c r="C47" s="1">
        <v>15.185397197400397</v>
      </c>
      <c r="D47" s="1">
        <v>14.9106110087091</v>
      </c>
      <c r="E47" s="1">
        <v>14.861522121538099</v>
      </c>
      <c r="F47" s="1">
        <v>15.151313532968201</v>
      </c>
      <c r="G47" s="1">
        <v>22.727469110395102</v>
      </c>
      <c r="H47" s="1">
        <v>61.492379414313589</v>
      </c>
      <c r="I47" s="1">
        <f>4.45632643118448*(3.6/1.055)</f>
        <v>15.206421945274043</v>
      </c>
      <c r="J47" s="1">
        <f>2.67587375856272*(3.6/1.055)</f>
        <v>9.1309436311144818</v>
      </c>
      <c r="K47" s="1">
        <f>2.59922459535209*(3.6/1.055)</f>
        <v>8.8693919841398277</v>
      </c>
      <c r="L47" s="1">
        <f>3.6332283678895*(3.6/1.055)</f>
        <v>12.397746089480776</v>
      </c>
      <c r="M47" s="1">
        <f>3.79636066577826*(3.6/1.055)</f>
        <v>12.954406063319167</v>
      </c>
      <c r="N47" s="1">
        <f>3.97245882733046*(3.6/1.055)</f>
        <v>13.555309742549449</v>
      </c>
      <c r="O47" s="1">
        <f>4.14043625462861*(3.6/1.055)</f>
        <v>14.128502859396193</v>
      </c>
    </row>
    <row r="48" spans="1:15" x14ac:dyDescent="0.45">
      <c r="A48" t="s">
        <v>297</v>
      </c>
      <c r="B48" s="1">
        <v>15.238770456499996</v>
      </c>
      <c r="C48" s="1">
        <v>15.185397197400402</v>
      </c>
      <c r="D48" s="1">
        <v>14.9106110087091</v>
      </c>
      <c r="E48" s="1">
        <v>6.7834642103453859</v>
      </c>
      <c r="F48" s="1">
        <v>7.5959080863170856</v>
      </c>
      <c r="G48" s="1">
        <v>22.727469110395099</v>
      </c>
      <c r="H48" s="1">
        <v>82.853740000154133</v>
      </c>
      <c r="I48" s="1">
        <f>4.45632643118448*(3.6/1.055)</f>
        <v>15.206421945274071</v>
      </c>
      <c r="J48" s="1">
        <f>2.67546109993274*(3.6/1.055)</f>
        <v>9.1295355068794848</v>
      </c>
      <c r="K48" s="1">
        <f>2.5811274654591*(3.6/1.055)</f>
        <v>8.8076387446945752</v>
      </c>
      <c r="L48" s="1">
        <f>3.63051679954055*(3.6/1.055)</f>
        <v>12.388493344403782</v>
      </c>
      <c r="M48" s="1">
        <f>3.80448969135256*(3.6/1.055)</f>
        <v>12.982144918359463</v>
      </c>
      <c r="N48" s="1">
        <f>3.93905890458822*(3.6/1.055)</f>
        <v>13.441338442196777</v>
      </c>
      <c r="O48" s="1">
        <f>4.10089671116307*(3.6/1.055)</f>
        <v>13.993581194490083</v>
      </c>
    </row>
    <row r="49" spans="1:15" x14ac:dyDescent="0.45">
      <c r="A49" t="s">
        <v>298</v>
      </c>
      <c r="B49" s="1">
        <v>15.238770456499998</v>
      </c>
      <c r="C49" s="1">
        <v>15.185397197400402</v>
      </c>
      <c r="D49" s="1">
        <v>14.9106110087091</v>
      </c>
      <c r="E49" s="1">
        <v>6.7834642057691799</v>
      </c>
      <c r="F49" s="1">
        <v>7.5959080841523416</v>
      </c>
      <c r="G49" s="1">
        <v>22.727469110395099</v>
      </c>
      <c r="H49" s="1">
        <v>82.853740000099819</v>
      </c>
      <c r="I49" s="1">
        <f>4.45632643118448*(3.6/1.055)</f>
        <v>15.206421945274061</v>
      </c>
      <c r="J49" s="1">
        <f>2.67546109979761*(3.6/1.055)</f>
        <v>9.1295355064183781</v>
      </c>
      <c r="K49" s="1">
        <f>2.58112746547998*(3.6/1.055)</f>
        <v>8.8076387447658071</v>
      </c>
      <c r="L49" s="1">
        <f>3.63051679955721*(3.6/1.055)</f>
        <v>12.388493344460617</v>
      </c>
      <c r="M49" s="1">
        <f>3.80448969159215*(3.6/1.055)</f>
        <v>12.982144919176996</v>
      </c>
      <c r="N49" s="1">
        <f>3.93905890308588*(3.6/1.055)</f>
        <v>13.441338437070316</v>
      </c>
      <c r="O49" s="1">
        <f>4.10089671107265*(3.6/1.055)</f>
        <v>13.993581194181562</v>
      </c>
    </row>
    <row r="50" spans="1:15" x14ac:dyDescent="0.45">
      <c r="A50" t="s">
        <v>299</v>
      </c>
      <c r="B50" s="1">
        <v>15.238770456499999</v>
      </c>
      <c r="C50" s="1">
        <v>15.185397197400402</v>
      </c>
      <c r="D50" s="1">
        <v>14.910611008709099</v>
      </c>
      <c r="E50" s="1">
        <v>6.9548543695036837</v>
      </c>
      <c r="F50" s="1">
        <v>7.4710721630664096</v>
      </c>
      <c r="G50" s="1">
        <v>22.727469110395102</v>
      </c>
      <c r="H50" s="1">
        <v>57.624518137916191</v>
      </c>
      <c r="I50" s="1">
        <f>4.45632643118449*(3.6/1.055)</f>
        <v>15.206421945274073</v>
      </c>
      <c r="J50" s="1">
        <f>2.67550263904991*(3.6/1.055)</f>
        <v>9.1296772517342735</v>
      </c>
      <c r="K50" s="1">
        <f>2.58105007834289*(3.6/1.055)</f>
        <v>8.8073746749141435</v>
      </c>
      <c r="L50" s="1">
        <f>3.63073863557207*(3.6/1.055)</f>
        <v>12.389250320435513</v>
      </c>
      <c r="M50" s="1">
        <f>3.80504505810436*(3.6/1.055)</f>
        <v>12.984040008697347</v>
      </c>
      <c r="N50" s="1">
        <f>3.94223958699085*(3.6/1.055)</f>
        <v>13.452191955608582</v>
      </c>
      <c r="O50" s="1">
        <f>4.08914209616958*(3.6/1.055)</f>
        <v>13.953470659915142</v>
      </c>
    </row>
    <row r="51" spans="1:15" x14ac:dyDescent="0.45">
      <c r="A51" t="s">
        <v>300</v>
      </c>
      <c r="B51" s="1">
        <v>15.238770456499999</v>
      </c>
      <c r="C51" s="1">
        <v>15.185397197400397</v>
      </c>
      <c r="D51" s="1">
        <v>14.9106110087091</v>
      </c>
      <c r="E51" s="1">
        <v>6.8277879627344875</v>
      </c>
      <c r="F51" s="1">
        <v>7.4880336850853109</v>
      </c>
      <c r="G51" s="1">
        <v>22.727469110395099</v>
      </c>
      <c r="H51" s="1">
        <v>82.33811455590147</v>
      </c>
      <c r="I51" s="1">
        <f t="shared" ref="I51:I56" si="3">4.45632643118448*(3.6/1.055)</f>
        <v>15.206421945274061</v>
      </c>
      <c r="J51" s="1">
        <f>2.6754682181787*(3.6/1.055)</f>
        <v>9.1295597966287438</v>
      </c>
      <c r="K51" s="1">
        <f>2.58113428726599*(3.6/1.055)</f>
        <v>8.8076620228981621</v>
      </c>
      <c r="L51" s="1">
        <f>3.63050278076671*(3.6/1.055)</f>
        <v>12.388445507829545</v>
      </c>
      <c r="M51" s="1">
        <f>3.80502932251949*(3.6/1.055)</f>
        <v>12.983986313810583</v>
      </c>
      <c r="N51" s="1">
        <f>3.93895643346823*(3.6/1.055)</f>
        <v>13.440988777711498</v>
      </c>
      <c r="O51" s="1">
        <f>4.10075261188832*(3.6/1.055)</f>
        <v>13.993089481325066</v>
      </c>
    </row>
    <row r="52" spans="1:15" x14ac:dyDescent="0.45">
      <c r="A52" t="s">
        <v>301</v>
      </c>
      <c r="B52" s="1">
        <v>15.238770456499996</v>
      </c>
      <c r="C52" s="1">
        <v>15.185397197400404</v>
      </c>
      <c r="D52" s="1">
        <v>14.910611008709099</v>
      </c>
      <c r="E52" s="1">
        <v>6.8277879293141339</v>
      </c>
      <c r="F52" s="1">
        <v>7.4880337354892941</v>
      </c>
      <c r="G52" s="1">
        <v>22.727469110395099</v>
      </c>
      <c r="H52" s="1">
        <v>82.338114608231407</v>
      </c>
      <c r="I52" s="1">
        <f t="shared" si="3"/>
        <v>15.206421945274068</v>
      </c>
      <c r="J52" s="1">
        <f>2.67546821845201*(3.6/1.055)</f>
        <v>9.129559797561372</v>
      </c>
      <c r="K52" s="1">
        <f>2.58113428776483*(3.6/1.055)</f>
        <v>8.807662024600365</v>
      </c>
      <c r="L52" s="1">
        <f>3.63050278067441*(3.6/1.055)</f>
        <v>12.388445507514566</v>
      </c>
      <c r="M52" s="1">
        <f>3.80502931862601*(3.6/1.055)</f>
        <v>12.983986300524782</v>
      </c>
      <c r="N52" s="1">
        <f>3.9389564343424*(3.6/1.055)</f>
        <v>13.440988780694431</v>
      </c>
      <c r="O52" s="1">
        <f>4.10075260855665*(3.6/1.055)</f>
        <v>13.993089469956344</v>
      </c>
    </row>
    <row r="53" spans="1:15" x14ac:dyDescent="0.45">
      <c r="A53" t="s">
        <v>302</v>
      </c>
      <c r="B53" s="1">
        <v>15.238770456499999</v>
      </c>
      <c r="C53" s="1">
        <v>15.185397197400397</v>
      </c>
      <c r="D53" s="1">
        <v>14.9106110087091</v>
      </c>
      <c r="E53" s="1">
        <v>6.9548545556407104</v>
      </c>
      <c r="F53" s="1">
        <v>7.4710720530360533</v>
      </c>
      <c r="G53" s="1">
        <v>22.727469110395102</v>
      </c>
      <c r="H53" s="1">
        <v>57.62451948843723</v>
      </c>
      <c r="I53" s="1">
        <f t="shared" si="3"/>
        <v>15.206421945274068</v>
      </c>
      <c r="J53" s="1">
        <f>2.67550264020503*(3.6/1.055)</f>
        <v>9.1296772556759418</v>
      </c>
      <c r="K53" s="1">
        <f>2.58105007817642*(3.6/1.055)</f>
        <v>8.8073746743460646</v>
      </c>
      <c r="L53" s="1">
        <f>3.63073863516557*(3.6/1.055)</f>
        <v>12.389250319048395</v>
      </c>
      <c r="M53" s="1">
        <f>3.80504505303684*(3.6/1.055)</f>
        <v>12.984039991405343</v>
      </c>
      <c r="N53" s="1">
        <f>3.94223958246724*(3.6/1.055)</f>
        <v>13.452191940172586</v>
      </c>
      <c r="O53" s="1">
        <f>4.08914209458561*(3.6/1.055)</f>
        <v>13.953470654510131</v>
      </c>
    </row>
    <row r="54" spans="1:15" x14ac:dyDescent="0.45">
      <c r="A54" t="s">
        <v>303</v>
      </c>
      <c r="B54" s="1">
        <v>15.238770456499998</v>
      </c>
      <c r="C54" s="1">
        <v>15.1853971974004</v>
      </c>
      <c r="D54" s="1">
        <v>14.910611008709099</v>
      </c>
      <c r="E54" s="1">
        <v>6.0138179791944202</v>
      </c>
      <c r="F54" s="1">
        <v>3.5508558102457566</v>
      </c>
      <c r="G54" s="1">
        <v>22.727469110395102</v>
      </c>
      <c r="H54" s="1">
        <v>65.61872783324047</v>
      </c>
      <c r="I54" s="1">
        <f t="shared" si="3"/>
        <v>15.20642194527405</v>
      </c>
      <c r="J54" s="1">
        <f>2.67567695283544*(3.6/1.055)</f>
        <v>9.1302720665474713</v>
      </c>
      <c r="K54" s="1">
        <f>2.57980897542251*(3.6/1.055)</f>
        <v>8.8031396317734814</v>
      </c>
      <c r="L54" s="1">
        <f>3.63046443676104*(3.6/1.055)</f>
        <v>12.388314665724891</v>
      </c>
      <c r="M54" s="1">
        <f>3.7988532877177*(3.6/1.055)</f>
        <v>12.96291169268599</v>
      </c>
      <c r="N54" s="1">
        <f>3.9706260030032*(3.6/1.055)</f>
        <v>13.549055555271581</v>
      </c>
      <c r="O54" s="1">
        <f>4.08962194584801*(3.6/1.055)</f>
        <v>13.95510806166145</v>
      </c>
    </row>
    <row r="55" spans="1:15" x14ac:dyDescent="0.45">
      <c r="A55" t="s">
        <v>304</v>
      </c>
      <c r="B55" s="1">
        <v>15.238770456499999</v>
      </c>
      <c r="C55" s="1">
        <v>15.1853971974004</v>
      </c>
      <c r="D55" s="1">
        <v>14.910611008709099</v>
      </c>
      <c r="E55" s="1">
        <v>6.0138179410628236</v>
      </c>
      <c r="F55" s="1">
        <v>3.550855823780994</v>
      </c>
      <c r="G55" s="1">
        <v>22.727469110395102</v>
      </c>
      <c r="H55" s="1">
        <v>65.618727925039067</v>
      </c>
      <c r="I55" s="1">
        <f t="shared" si="3"/>
        <v>15.206421945274052</v>
      </c>
      <c r="J55" s="1">
        <f>2.6756769530141*(3.6/1.055)</f>
        <v>9.1302720671571116</v>
      </c>
      <c r="K55" s="1">
        <f>2.57980897933996*(3.6/1.055)</f>
        <v>8.8031396451411048</v>
      </c>
      <c r="L55" s="1">
        <f>3.63046443864127*(3.6/1.055)</f>
        <v>12.388314672140842</v>
      </c>
      <c r="M55" s="1">
        <f>3.79885329211089*(3.6/1.055)</f>
        <v>12.96291170767697</v>
      </c>
      <c r="N55" s="1">
        <f>3.97062600519343*(3.6/1.055)</f>
        <v>13.549055562745371</v>
      </c>
      <c r="O55" s="1">
        <f>4.0896219545728*(3.6/1.055)</f>
        <v>13.955108091433235</v>
      </c>
    </row>
    <row r="56" spans="1:15" x14ac:dyDescent="0.45">
      <c r="A56" t="s">
        <v>305</v>
      </c>
      <c r="B56" s="1">
        <v>15.238770456499999</v>
      </c>
      <c r="C56" s="1">
        <v>15.185397197400402</v>
      </c>
      <c r="D56" s="1">
        <v>14.9106110087091</v>
      </c>
      <c r="E56" s="1">
        <v>6.202280352469459</v>
      </c>
      <c r="F56" s="1">
        <v>4.626454378729898</v>
      </c>
      <c r="G56" s="1">
        <v>22.727469110395102</v>
      </c>
      <c r="H56" s="1">
        <v>51.130910626927189</v>
      </c>
      <c r="I56" s="1">
        <f t="shared" si="3"/>
        <v>15.206421945274061</v>
      </c>
      <c r="J56" s="1">
        <f>2.67570951238436*(3.6/1.055)</f>
        <v>9.1303831702215081</v>
      </c>
      <c r="K56" s="1">
        <f>2.57976768254803*(3.6/1.055)</f>
        <v>8.802998727178112</v>
      </c>
      <c r="L56" s="1">
        <f>3.63042536447529*(3.6/1.055)</f>
        <v>12.388181338493885</v>
      </c>
      <c r="M56" s="1">
        <f>3.8000891053915*(3.6/1.055)</f>
        <v>12.967128700861997</v>
      </c>
      <c r="N56" s="1">
        <f>3.97236800897671*(3.6/1.055)</f>
        <v>13.554999841057962</v>
      </c>
      <c r="O56" s="1">
        <f>4.08301271238303*(3.6/1.055)</f>
        <v>13.932555227089004</v>
      </c>
    </row>
    <row r="57" spans="1:15" x14ac:dyDescent="0.45">
      <c r="A57" t="s">
        <v>306</v>
      </c>
      <c r="B57" s="1">
        <v>15.238770456499996</v>
      </c>
      <c r="C57" s="1">
        <v>15.1853971974004</v>
      </c>
      <c r="D57" s="1">
        <v>14.910611008709102</v>
      </c>
      <c r="E57" s="1">
        <v>14.861522121538098</v>
      </c>
      <c r="F57" s="1">
        <v>15.151313532968203</v>
      </c>
      <c r="G57" s="1">
        <v>22.727469110395099</v>
      </c>
      <c r="H57" s="1">
        <v>61.492379414313589</v>
      </c>
      <c r="I57" s="1">
        <f>4.45632643118449*(3.6/1.055)</f>
        <v>15.206421945274073</v>
      </c>
      <c r="J57" s="1">
        <f>2.67687856338993*(3.6/1.055)</f>
        <v>9.1343723490082827</v>
      </c>
      <c r="K57" s="1">
        <f>2.63690658557068*(3.6/1.055)</f>
        <v>8.9979750787245898</v>
      </c>
      <c r="L57" s="1">
        <f>3.77227779578462*(3.6/1.055)</f>
        <v>12.872227549596813</v>
      </c>
      <c r="M57" s="1">
        <f>4.16568467599282*(3.6/1.055)</f>
        <v>14.214658610022893</v>
      </c>
      <c r="N57" s="1">
        <f>4.51547810765892*(3.6/1.055)</f>
        <v>15.408266528504384</v>
      </c>
      <c r="O57" s="1">
        <f>4.43612983145234*(3.6/1.055)</f>
        <v>15.137504638131215</v>
      </c>
    </row>
    <row r="58" spans="1:15" x14ac:dyDescent="0.45">
      <c r="A58" t="s">
        <v>307</v>
      </c>
      <c r="B58" s="1">
        <v>15.238770456499999</v>
      </c>
      <c r="C58" s="1">
        <v>15.185397197400402</v>
      </c>
      <c r="D58" s="1">
        <v>14.910611008709097</v>
      </c>
      <c r="E58" s="1">
        <v>14.861522121538096</v>
      </c>
      <c r="F58" s="1">
        <v>15.151313532968199</v>
      </c>
      <c r="G58" s="1">
        <v>22.727469110395095</v>
      </c>
      <c r="H58" s="1">
        <v>61.492379414313604</v>
      </c>
      <c r="I58" s="1">
        <f t="shared" ref="I58:I69" si="4">4.45632643118448*(3.6/1.055)</f>
        <v>15.206421945274059</v>
      </c>
      <c r="J58" s="1">
        <f>2.67687856350385*(3.6/1.055)</f>
        <v>9.134372349397033</v>
      </c>
      <c r="K58" s="1">
        <f>2.63690658538452*(3.6/1.055)</f>
        <v>8.9979750780893468</v>
      </c>
      <c r="L58" s="1">
        <f>3.77227779581457*(3.6/1.055)</f>
        <v>12.872227549699007</v>
      </c>
      <c r="M58" s="1">
        <f>4.16568467545574*(3.6/1.055)</f>
        <v>14.214658608190204</v>
      </c>
      <c r="N58" s="1">
        <f>4.51547810699273*(3.6/1.055)</f>
        <v>15.408266526231102</v>
      </c>
      <c r="O58" s="1">
        <f>4.43612982912173*(3.6/1.055)</f>
        <v>15.137504630178412</v>
      </c>
    </row>
    <row r="59" spans="1:15" x14ac:dyDescent="0.45">
      <c r="A59" t="s">
        <v>308</v>
      </c>
      <c r="B59" s="1">
        <v>15.238770456499998</v>
      </c>
      <c r="C59" s="1">
        <v>15.1853971974004</v>
      </c>
      <c r="D59" s="1">
        <v>14.9106110087091</v>
      </c>
      <c r="E59" s="1">
        <v>14.861522121538101</v>
      </c>
      <c r="F59" s="1">
        <v>15.151313532968201</v>
      </c>
      <c r="G59" s="1">
        <v>22.727469110395102</v>
      </c>
      <c r="H59" s="1">
        <v>61.492379414313596</v>
      </c>
      <c r="I59" s="1">
        <f t="shared" si="4"/>
        <v>15.206421945274068</v>
      </c>
      <c r="J59" s="1">
        <f>2.67698036276744*(3.6/1.055)</f>
        <v>9.1347197212917379</v>
      </c>
      <c r="K59" s="1">
        <f>2.63712385090852*(3.6/1.055)</f>
        <v>8.9987164580764567</v>
      </c>
      <c r="L59" s="1">
        <f>3.77251683134284*(3.6/1.055)</f>
        <v>12.873043215956624</v>
      </c>
      <c r="M59" s="1">
        <f>4.16343140417007*(3.6/1.055)</f>
        <v>14.206969720390745</v>
      </c>
      <c r="N59" s="1">
        <f>4.36772420069244*(3.6/1.055)</f>
        <v>14.904082580561864</v>
      </c>
      <c r="O59" s="1">
        <f>4.32041292095342*(3.6/1.055)</f>
        <v>14.742641246855289</v>
      </c>
    </row>
    <row r="60" spans="1:15" x14ac:dyDescent="0.45">
      <c r="A60" t="s">
        <v>309</v>
      </c>
      <c r="B60" s="1">
        <v>15.238770456499998</v>
      </c>
      <c r="C60" s="1">
        <v>15.1853971974004</v>
      </c>
      <c r="D60" s="1">
        <v>14.910611008709102</v>
      </c>
      <c r="E60" s="1">
        <v>14.861522121538098</v>
      </c>
      <c r="F60" s="1">
        <v>15.151313532968199</v>
      </c>
      <c r="G60" s="1">
        <v>22.727469110395099</v>
      </c>
      <c r="H60" s="1">
        <v>61.492379414313604</v>
      </c>
      <c r="I60" s="1">
        <f t="shared" si="4"/>
        <v>15.206421945274052</v>
      </c>
      <c r="J60" s="1">
        <f>2.67689043950285*(3.6/1.055)</f>
        <v>9.1344128741329627</v>
      </c>
      <c r="K60" s="1">
        <f>2.63686438900503*(3.6/1.055)</f>
        <v>8.997831090443702</v>
      </c>
      <c r="L60" s="1">
        <f>3.77228500078159*(3.6/1.055)</f>
        <v>12.87225213536847</v>
      </c>
      <c r="M60" s="1">
        <f>4.16568537335289*(3.6/1.055)</f>
        <v>14.214660989640194</v>
      </c>
      <c r="N60" s="1">
        <f>4.5254965750043*(3.6/1.055)</f>
        <v>15.442452767787179</v>
      </c>
      <c r="O60" s="1">
        <f>4.43586514512227*(3.6/1.055)</f>
        <v>15.136601443071271</v>
      </c>
    </row>
    <row r="61" spans="1:15" x14ac:dyDescent="0.45">
      <c r="A61" t="s">
        <v>310</v>
      </c>
      <c r="B61" s="1">
        <v>15.238770456499996</v>
      </c>
      <c r="C61" s="1">
        <v>15.1853971974004</v>
      </c>
      <c r="D61" s="1">
        <v>14.910611008709099</v>
      </c>
      <c r="E61" s="1">
        <v>14.861522121538096</v>
      </c>
      <c r="F61" s="1">
        <v>15.151313532968199</v>
      </c>
      <c r="G61" s="1">
        <v>22.727469110395099</v>
      </c>
      <c r="H61" s="1">
        <v>61.492379414313582</v>
      </c>
      <c r="I61" s="1">
        <f t="shared" si="4"/>
        <v>15.206421945274061</v>
      </c>
      <c r="J61" s="1">
        <f>2.67689043938303*(3.6/1.055)</f>
        <v>9.1344128737240791</v>
      </c>
      <c r="K61" s="1">
        <f>2.6368643889785*(3.6/1.055)</f>
        <v>8.9978310903531806</v>
      </c>
      <c r="L61" s="1">
        <f>3.77228500077711*(3.6/1.055)</f>
        <v>12.872252135353177</v>
      </c>
      <c r="M61" s="1">
        <f>4.1656853733235*(3.6/1.055)</f>
        <v>14.214660989539894</v>
      </c>
      <c r="N61" s="1">
        <f>4.52549657488889*(3.6/1.055)</f>
        <v>15.442452767393354</v>
      </c>
      <c r="O61" s="1">
        <f>4.43586514463304*(3.6/1.055)</f>
        <v>15.136601441401835</v>
      </c>
    </row>
    <row r="62" spans="1:15" x14ac:dyDescent="0.45">
      <c r="A62" t="s">
        <v>311</v>
      </c>
      <c r="B62" s="1">
        <v>15.238770456499998</v>
      </c>
      <c r="C62" s="1">
        <v>15.185397197400398</v>
      </c>
      <c r="D62" s="1">
        <v>14.910611008709097</v>
      </c>
      <c r="E62" s="1">
        <v>14.861522121538098</v>
      </c>
      <c r="F62" s="1">
        <v>15.151313532968199</v>
      </c>
      <c r="G62" s="1">
        <v>22.727469110395102</v>
      </c>
      <c r="H62" s="1">
        <v>61.492379414313596</v>
      </c>
      <c r="I62" s="1">
        <f t="shared" si="4"/>
        <v>15.206421945274068</v>
      </c>
      <c r="J62" s="1">
        <f>2.67697914230627*(3.6/1.055)</f>
        <v>9.1347155566849061</v>
      </c>
      <c r="K62" s="1">
        <f>2.63703672830909*(3.6/1.055)</f>
        <v>8.9984191676897716</v>
      </c>
      <c r="L62" s="1">
        <f>3.7725753484126*(3.6/1.055)</f>
        <v>12.873242895057212</v>
      </c>
      <c r="M62" s="1">
        <f>4.16350855115303*(3.6/1.055)</f>
        <v>14.207232970759147</v>
      </c>
      <c r="N62" s="1">
        <f>4.36766186274438*(3.6/1.055)</f>
        <v>14.903869863393149</v>
      </c>
      <c r="O62" s="1">
        <f>4.32016775415281*(3.6/1.055)</f>
        <v>14.741804658720481</v>
      </c>
    </row>
    <row r="63" spans="1:15" x14ac:dyDescent="0.45">
      <c r="A63" t="s">
        <v>312</v>
      </c>
      <c r="B63" s="1">
        <v>15.238770456499996</v>
      </c>
      <c r="C63" s="1">
        <v>15.1853971974004</v>
      </c>
      <c r="D63" s="1">
        <v>14.9106110087091</v>
      </c>
      <c r="E63" s="1">
        <v>14.861522121538098</v>
      </c>
      <c r="F63" s="1">
        <v>15.151313532968199</v>
      </c>
      <c r="G63" s="1">
        <v>22.727469110395099</v>
      </c>
      <c r="H63" s="1">
        <v>61.492379414313604</v>
      </c>
      <c r="I63" s="1">
        <f t="shared" si="4"/>
        <v>15.206421945274055</v>
      </c>
      <c r="J63" s="1">
        <f>2.67625520130517*(3.6/1.055)</f>
        <v>9.1322452366811522</v>
      </c>
      <c r="K63" s="1">
        <f>2.63537938509044*(3.6/1.055)</f>
        <v>8.9927637785076691</v>
      </c>
      <c r="L63" s="1">
        <f>3.85184640054443*(3.6/1.055)</f>
        <v>13.143741271999957</v>
      </c>
      <c r="M63" s="1">
        <f>4.255685256752*(3.6/1.055)</f>
        <v>14.521769596499718</v>
      </c>
      <c r="N63" s="1">
        <f>4.63682216254589*(3.6/1.055)</f>
        <v>15.822331549919628</v>
      </c>
      <c r="O63" s="1">
        <f>4.48949084169565*(3.6/1.055)</f>
        <v>15.319589601994627</v>
      </c>
    </row>
    <row r="64" spans="1:15" x14ac:dyDescent="0.45">
      <c r="A64" t="s">
        <v>313</v>
      </c>
      <c r="B64" s="1">
        <v>15.238770456499996</v>
      </c>
      <c r="C64" s="1">
        <v>15.185397197400398</v>
      </c>
      <c r="D64" s="1">
        <v>14.910611008709102</v>
      </c>
      <c r="E64" s="1">
        <v>14.861522121538099</v>
      </c>
      <c r="F64" s="1">
        <v>15.151313532968198</v>
      </c>
      <c r="G64" s="1">
        <v>22.727469110395099</v>
      </c>
      <c r="H64" s="1">
        <v>61.492379414313604</v>
      </c>
      <c r="I64" s="1">
        <f t="shared" si="4"/>
        <v>15.206421945274064</v>
      </c>
      <c r="J64" s="1">
        <f>2.67625520124151*(3.6/1.055)</f>
        <v>9.1322452364639215</v>
      </c>
      <c r="K64" s="1">
        <f>2.63537938527799*(3.6/1.055)</f>
        <v>8.9927637791476283</v>
      </c>
      <c r="L64" s="1">
        <f>3.85184640063563*(3.6/1.055)</f>
        <v>13.143741272311161</v>
      </c>
      <c r="M64" s="1">
        <f>4.25568525664077*(3.6/1.055)</f>
        <v>14.52176959612015</v>
      </c>
      <c r="N64" s="1">
        <f>4.63682216197221*(3.6/1.055)</f>
        <v>15.82233154796203</v>
      </c>
      <c r="O64" s="1">
        <f>4.48949084145358*(3.6/1.055)</f>
        <v>15.319589601168605</v>
      </c>
    </row>
    <row r="65" spans="1:15" x14ac:dyDescent="0.45">
      <c r="A65" t="s">
        <v>314</v>
      </c>
      <c r="B65" s="1">
        <v>15.238770456499999</v>
      </c>
      <c r="C65" s="1">
        <v>15.185397197400398</v>
      </c>
      <c r="D65" s="1">
        <v>14.910611008709099</v>
      </c>
      <c r="E65" s="1">
        <v>14.861522121538098</v>
      </c>
      <c r="F65" s="1">
        <v>15.151313532968198</v>
      </c>
      <c r="G65" s="1">
        <v>22.727469110395099</v>
      </c>
      <c r="H65" s="1">
        <v>61.492379414313604</v>
      </c>
      <c r="I65" s="1">
        <f t="shared" si="4"/>
        <v>15.206421945274061</v>
      </c>
      <c r="J65" s="1">
        <f>2.67632887215984*(3.6/1.055)</f>
        <v>9.1324966253795559</v>
      </c>
      <c r="K65" s="1">
        <f>2.61788597505205*(3.6/1.055)</f>
        <v>8.9330706257700445</v>
      </c>
      <c r="L65" s="1">
        <f>3.85181234274252*(3.6/1.055)</f>
        <v>13.143625055803867</v>
      </c>
      <c r="M65" s="1">
        <f>4.25433659592208*(3.6/1.055)</f>
        <v>14.51716753110852</v>
      </c>
      <c r="N65" s="1">
        <f>4.59447088200709*(3.6/1.055)</f>
        <v>15.677815331967309</v>
      </c>
      <c r="O65" s="1">
        <f>4.31602982622011*(3.6/1.055)</f>
        <v>14.727684715063894</v>
      </c>
    </row>
    <row r="66" spans="1:15" x14ac:dyDescent="0.45">
      <c r="A66" t="s">
        <v>315</v>
      </c>
      <c r="B66" s="1">
        <v>15.238770456499998</v>
      </c>
      <c r="C66" s="1">
        <v>15.185397197400402</v>
      </c>
      <c r="D66" s="1">
        <v>14.910611008709099</v>
      </c>
      <c r="E66" s="1">
        <v>8.2711553336713131</v>
      </c>
      <c r="F66" s="1">
        <v>20.840662081062714</v>
      </c>
      <c r="G66" s="1">
        <v>57.690483424507171</v>
      </c>
      <c r="H66" s="1">
        <v>110.41535353346219</v>
      </c>
      <c r="I66" s="1">
        <f t="shared" si="4"/>
        <v>15.206421945274061</v>
      </c>
      <c r="J66" s="1">
        <f>2.67568773943564*(3.6/1.055)</f>
        <v>9.1303088739035978</v>
      </c>
      <c r="K66" s="1">
        <f>2.63885440548414*(3.6/1.055)</f>
        <v>9.0046216680027484</v>
      </c>
      <c r="L66" s="1">
        <f>3.69335920412599*(3.6/1.055)</f>
        <v>12.602931881377803</v>
      </c>
      <c r="M66" s="1">
        <f>4.01032037857748*(3.6/1.055)</f>
        <v>13.684505557231226</v>
      </c>
      <c r="N66" s="1">
        <f>4.19879088566093*(3.6/1.055)</f>
        <v>14.32762766671029</v>
      </c>
      <c r="O66" s="1">
        <f>4.14080470953017*(3.6/1.055)</f>
        <v>14.12976014626409</v>
      </c>
    </row>
    <row r="67" spans="1:15" x14ac:dyDescent="0.45">
      <c r="A67" t="s">
        <v>316</v>
      </c>
      <c r="B67" s="1">
        <v>15.238770456499998</v>
      </c>
      <c r="C67" s="1">
        <v>15.185397197400398</v>
      </c>
      <c r="D67" s="1">
        <v>14.9106110087091</v>
      </c>
      <c r="E67" s="1">
        <v>8.3462919047080959</v>
      </c>
      <c r="F67" s="1">
        <v>22.824535274128394</v>
      </c>
      <c r="G67" s="1">
        <v>59.59361485833395</v>
      </c>
      <c r="H67" s="1">
        <v>99.552783917588314</v>
      </c>
      <c r="I67" s="1">
        <f t="shared" si="4"/>
        <v>15.206421945274055</v>
      </c>
      <c r="J67" s="1">
        <f>2.67568829201249*(3.6/1.055)</f>
        <v>9.1303107594738844</v>
      </c>
      <c r="K67" s="1">
        <f>2.63873730389288*(3.6/1.055)</f>
        <v>9.0042220796344861</v>
      </c>
      <c r="L67" s="1">
        <f>3.69328499504483*(3.6/1.055)</f>
        <v>12.60267865607714</v>
      </c>
      <c r="M67" s="1">
        <f>3.97890453815534*(3.6/1.055)</f>
        <v>13.577304585174627</v>
      </c>
      <c r="N67" s="1">
        <f>4.1990025717113*(3.6/1.055)</f>
        <v>14.328350007735239</v>
      </c>
      <c r="O67" s="1">
        <f>4.09380080164556*(3.6/1.055)</f>
        <v>13.969367664382956</v>
      </c>
    </row>
    <row r="68" spans="1:15" x14ac:dyDescent="0.45">
      <c r="A68" t="s">
        <v>317</v>
      </c>
      <c r="B68" s="1">
        <v>15.238770456499996</v>
      </c>
      <c r="C68" s="1">
        <v>15.185397197400397</v>
      </c>
      <c r="D68" s="1">
        <v>14.9106110087091</v>
      </c>
      <c r="E68" s="1">
        <v>15.927157184604463</v>
      </c>
      <c r="F68" s="1">
        <v>30.016704242525293</v>
      </c>
      <c r="G68" s="1">
        <v>25.708585025407231</v>
      </c>
      <c r="H68" s="1">
        <v>98.962593995992307</v>
      </c>
      <c r="I68" s="1">
        <f t="shared" si="4"/>
        <v>15.206421945274064</v>
      </c>
      <c r="J68" s="1">
        <f>2.67608847993852*(3.6/1.055)</f>
        <v>9.1316763296480374</v>
      </c>
      <c r="K68" s="1">
        <f>2.63992978130836*(3.6/1.055)</f>
        <v>9.0082911968815989</v>
      </c>
      <c r="L68" s="1">
        <f>3.69452048377659*(3.6/1.055)</f>
        <v>12.606894541796903</v>
      </c>
      <c r="M68" s="1">
        <f>3.75328030847947*(3.6/1.055)</f>
        <v>12.807402000498653</v>
      </c>
      <c r="N68" s="1">
        <f>3.9340074612729*(3.6/1.055)</f>
        <v>13.424101289651619</v>
      </c>
      <c r="O68" s="1">
        <f>4.09149263815548*(3.6/1.055)</f>
        <v>13.961491466691699</v>
      </c>
    </row>
    <row r="69" spans="1:15" x14ac:dyDescent="0.45">
      <c r="A69" t="s">
        <v>318</v>
      </c>
      <c r="B69" s="1">
        <v>15.238770456499998</v>
      </c>
      <c r="C69" s="1">
        <v>15.185397197400398</v>
      </c>
      <c r="D69" s="1">
        <v>14.9106110087091</v>
      </c>
      <c r="E69" s="1">
        <v>6.9920512478171011</v>
      </c>
      <c r="F69" s="1">
        <v>5.8931650614380544</v>
      </c>
      <c r="G69" s="1">
        <v>45.635601001054731</v>
      </c>
      <c r="H69" s="1">
        <v>90.630631823369114</v>
      </c>
      <c r="I69" s="1">
        <f t="shared" si="4"/>
        <v>15.206421945274064</v>
      </c>
      <c r="J69" s="1">
        <f>2.67587736058784*(3.6/1.055)</f>
        <v>9.1309559223850538</v>
      </c>
      <c r="K69" s="1">
        <f>2.63769564769024*(3.6/1.055)</f>
        <v>9.0006676129714425</v>
      </c>
      <c r="L69" s="1">
        <f>3.77198890540235*(3.6/1.055)</f>
        <v>12.87124176251039</v>
      </c>
      <c r="M69" s="1">
        <f>4.16307115140141*(3.6/1.055)</f>
        <v>14.20574042184368</v>
      </c>
      <c r="N69" s="1">
        <f>4.3691607800088*(3.6/1.055)</f>
        <v>14.908984652162729</v>
      </c>
      <c r="O69" s="1">
        <f>4.17298703744989*(3.6/1.055)</f>
        <v>14.239576620682085</v>
      </c>
    </row>
    <row r="70" spans="1:15" x14ac:dyDescent="0.45">
      <c r="A70" t="s">
        <v>319</v>
      </c>
      <c r="B70" s="1">
        <v>15.238770456499998</v>
      </c>
      <c r="C70" s="1">
        <v>15.1853971974004</v>
      </c>
      <c r="D70" s="1">
        <v>14.9106110087091</v>
      </c>
      <c r="E70" s="1">
        <v>6.9592984427654718</v>
      </c>
      <c r="F70" s="1">
        <v>5.9573709152344057</v>
      </c>
      <c r="G70" s="1">
        <v>45.820336085228639</v>
      </c>
      <c r="H70" s="1">
        <v>92.143111240542126</v>
      </c>
      <c r="I70" s="1">
        <f>4.45632643118449*(3.6/1.055)</f>
        <v>15.206421945274073</v>
      </c>
      <c r="J70" s="1">
        <f>2.67589447153247*(3.6/1.055)</f>
        <v>9.131014310442561</v>
      </c>
      <c r="K70" s="1">
        <f>2.63764592787258*(3.6/1.055)</f>
        <v>9.0004979529301288</v>
      </c>
      <c r="L70" s="1">
        <f>3.77183729819883*(3.6/1.055)</f>
        <v>12.870724429872796</v>
      </c>
      <c r="M70" s="1">
        <f>4.16297343925205*(3.6/1.055)</f>
        <v>14.205406996499889</v>
      </c>
      <c r="N70" s="1">
        <f>4.36915662303549*(3.6/1.055)</f>
        <v>14.9089704672301</v>
      </c>
      <c r="O70" s="1">
        <f>4.12847358486046*(3.6/1.055)</f>
        <v>14.087682374879284</v>
      </c>
    </row>
    <row r="71" spans="1:15" x14ac:dyDescent="0.45">
      <c r="A71" t="s">
        <v>320</v>
      </c>
      <c r="B71" s="1">
        <v>15.238770456499998</v>
      </c>
      <c r="C71" s="1">
        <v>15.185397197400398</v>
      </c>
      <c r="D71" s="1">
        <v>14.9106110087091</v>
      </c>
      <c r="E71" s="1">
        <v>11.582296385646222</v>
      </c>
      <c r="F71" s="1">
        <v>9.7504586072730621</v>
      </c>
      <c r="G71" s="1">
        <v>29.391034472647434</v>
      </c>
      <c r="H71" s="1">
        <v>96.562603656625598</v>
      </c>
      <c r="I71" s="1">
        <f>4.45632643118448*(3.6/1.055)</f>
        <v>15.206421945274064</v>
      </c>
      <c r="J71" s="1">
        <f>2.67612493477151*(3.6/1.055)</f>
        <v>9.131800725286686</v>
      </c>
      <c r="K71" s="1">
        <f>2.63947812970103*(3.6/1.055)</f>
        <v>9.0067500160414191</v>
      </c>
      <c r="L71" s="1">
        <f>3.77368299211814*(3.6/1.055)</f>
        <v>12.877022532346249</v>
      </c>
      <c r="M71" s="1">
        <f>3.97963153964584*(3.6/1.055)</f>
        <v>13.579785348554529</v>
      </c>
      <c r="N71" s="1">
        <f>4.18050861006093*(3.6/1.055)</f>
        <v>14.265242650444879</v>
      </c>
      <c r="O71" s="1">
        <f>4.05723548954297*(3.6/1.055)</f>
        <v>13.844595035407286</v>
      </c>
    </row>
    <row r="72" spans="1:15" x14ac:dyDescent="0.45">
      <c r="A72" t="s">
        <v>321</v>
      </c>
      <c r="B72" s="1">
        <v>15.238770456499999</v>
      </c>
      <c r="C72" s="1">
        <v>15.185397197400404</v>
      </c>
      <c r="D72" s="1">
        <v>14.910611008709099</v>
      </c>
      <c r="E72" s="1">
        <v>4.0953000469062362</v>
      </c>
      <c r="F72" s="1">
        <v>15.151313532968201</v>
      </c>
      <c r="G72" s="1">
        <v>37.431190326053539</v>
      </c>
      <c r="H72" s="1">
        <v>69.616424303318055</v>
      </c>
      <c r="I72" s="1">
        <f>4.45632643118448*(3.6/1.055)</f>
        <v>15.206421945274068</v>
      </c>
      <c r="J72" s="1">
        <f>2.67600458130837*(3.6/1.055)</f>
        <v>9.1313900404835486</v>
      </c>
      <c r="K72" s="1">
        <f>2.61779239501359*(3.6/1.055)</f>
        <v>8.9327513005203034</v>
      </c>
      <c r="L72" s="1">
        <f>3.8381610590301*(3.6/1.055)</f>
        <v>13.097042476311234</v>
      </c>
      <c r="M72" s="1">
        <f>4.34541493521735*(3.6/1.055)</f>
        <v>14.827956177044994</v>
      </c>
      <c r="N72" s="1">
        <f>4.63605873731655*(3.6/1.055)</f>
        <v>15.819726497004334</v>
      </c>
      <c r="O72" s="1">
        <f>4.20548028530352*(3.6/1.055)</f>
        <v>14.35045405411628</v>
      </c>
    </row>
    <row r="73" spans="1:15" x14ac:dyDescent="0.45">
      <c r="A73" t="s">
        <v>322</v>
      </c>
      <c r="B73" s="1">
        <v>15.238770456499999</v>
      </c>
      <c r="C73" s="1">
        <v>15.185397197400398</v>
      </c>
      <c r="D73" s="1">
        <v>14.910611008709097</v>
      </c>
      <c r="E73" s="1">
        <v>4.0972499849670756</v>
      </c>
      <c r="F73" s="1">
        <v>15.151313532968203</v>
      </c>
      <c r="G73" s="1">
        <v>37.119357794376874</v>
      </c>
      <c r="H73" s="1">
        <v>69.245143697247016</v>
      </c>
      <c r="I73" s="1">
        <f>4.45632643118448*(3.6/1.055)</f>
        <v>15.206421945274064</v>
      </c>
      <c r="J73" s="1">
        <f>2.67599425413622*(3.6/1.055)</f>
        <v>9.1313548008439795</v>
      </c>
      <c r="K73" s="1">
        <f>2.61777927109332*(3.6/1.055)</f>
        <v>8.9327065174748501</v>
      </c>
      <c r="L73" s="1">
        <f>3.83884608886789*(3.6/1.055)</f>
        <v>13.099380018885679</v>
      </c>
      <c r="M73" s="1">
        <f>4.34541607995829*(3.6/1.055)</f>
        <v>14.827960083269982</v>
      </c>
      <c r="N73" s="1">
        <f>4.63597245194691*(3.6/1.055)</f>
        <v>15.819432063515535</v>
      </c>
      <c r="O73" s="1">
        <f>4.20477878453837*(3.6/1.055)</f>
        <v>14.348060307429503</v>
      </c>
    </row>
    <row r="74" spans="1:15" x14ac:dyDescent="0.45">
      <c r="A74" t="s">
        <v>323</v>
      </c>
      <c r="B74" s="1">
        <v>15.238770456499998</v>
      </c>
      <c r="C74" s="1">
        <v>15.1853971974004</v>
      </c>
      <c r="D74" s="1">
        <v>14.910611008709099</v>
      </c>
      <c r="E74" s="1">
        <v>4.9000917880494894</v>
      </c>
      <c r="F74" s="1">
        <v>1.2634496781377185</v>
      </c>
      <c r="G74" s="1">
        <v>32.383983810343146</v>
      </c>
      <c r="H74" s="1">
        <v>83.61536878617548</v>
      </c>
      <c r="I74" s="1">
        <f>4.45632643118449*(3.6/1.055)</f>
        <v>15.206421945274073</v>
      </c>
      <c r="J74" s="1">
        <f>2.6763339579378*(3.6/1.055)</f>
        <v>9.132513979692952</v>
      </c>
      <c r="K74" s="1">
        <f>2.61788304136862*(3.6/1.055)</f>
        <v>8.9330606150967018</v>
      </c>
      <c r="L74" s="1">
        <f>3.77997772401212*(3.6/1.055)</f>
        <v>12.898502186202482</v>
      </c>
      <c r="M74" s="1">
        <f>4.34441566129316*(3.6/1.055)</f>
        <v>14.824546332374769</v>
      </c>
      <c r="N74" s="1">
        <f>4.55729996616591*(3.6/1.055)</f>
        <v>15.550976187864713</v>
      </c>
      <c r="O74" s="1">
        <f>4.07025342180527*(3.6/1.055)</f>
        <v>13.889016415638851</v>
      </c>
    </row>
    <row r="75" spans="1:15" x14ac:dyDescent="0.45">
      <c r="A75" t="s">
        <v>324</v>
      </c>
      <c r="B75" s="1">
        <v>15.238770456499996</v>
      </c>
      <c r="C75" s="1">
        <v>15.185397197400398</v>
      </c>
      <c r="D75" s="1">
        <v>14.910611008709104</v>
      </c>
      <c r="E75" s="1">
        <v>14.861522121538099</v>
      </c>
      <c r="F75" s="1">
        <v>15.151313532968199</v>
      </c>
      <c r="G75" s="1">
        <v>22.727469110395099</v>
      </c>
      <c r="H75" s="1">
        <v>61.492379414313596</v>
      </c>
      <c r="I75" s="1">
        <f t="shared" ref="I75:I81" si="5">4.45632643118448*(3.6/1.055)</f>
        <v>15.206421945274055</v>
      </c>
      <c r="J75" s="1">
        <f>2.20984541089312*(3.6/1.055)</f>
        <v>7.5407047196353032</v>
      </c>
      <c r="K75" s="1">
        <f>1.95673014280628*(3.6/1.055)</f>
        <v>6.6769938522299528</v>
      </c>
      <c r="L75" s="1">
        <f>2.49247990704664*(3.6/1.055)</f>
        <v>8.505144706509876</v>
      </c>
      <c r="M75" s="1">
        <f>2.77774916982665*(3.6/1.055)</f>
        <v>9.4785753662331143</v>
      </c>
      <c r="N75" s="1">
        <f>2.74562162121643*(3.6/1.055)</f>
        <v>9.3689458164731345</v>
      </c>
      <c r="O75" s="1">
        <f>2.80169300912982*(3.6/1.055)</f>
        <v>9.5602794624335257</v>
      </c>
    </row>
    <row r="76" spans="1:15" x14ac:dyDescent="0.45">
      <c r="A76" t="s">
        <v>325</v>
      </c>
      <c r="B76" s="1">
        <v>15.238770456499998</v>
      </c>
      <c r="C76" s="1">
        <v>15.185397197400398</v>
      </c>
      <c r="D76" s="1">
        <v>14.910611008709102</v>
      </c>
      <c r="E76" s="1">
        <v>14.861522121538098</v>
      </c>
      <c r="F76" s="1">
        <v>15.151313532968199</v>
      </c>
      <c r="G76" s="1">
        <v>22.727469110395099</v>
      </c>
      <c r="H76" s="1">
        <v>61.492379414313596</v>
      </c>
      <c r="I76" s="1">
        <f t="shared" si="5"/>
        <v>15.206421945274052</v>
      </c>
      <c r="J76" s="1">
        <f>2.20984541095067*(3.6/1.055)</f>
        <v>7.5407047198316857</v>
      </c>
      <c r="K76" s="1">
        <f>1.95673014276956*(3.6/1.055)</f>
        <v>6.676993852104661</v>
      </c>
      <c r="L76" s="1">
        <f>2.49247990702418*(3.6/1.055)</f>
        <v>8.5051447064332102</v>
      </c>
      <c r="M76" s="1">
        <f>2.77774916986303*(3.6/1.055)</f>
        <v>9.4785753663572638</v>
      </c>
      <c r="N76" s="1">
        <f>2.74562162119981*(3.6/1.055)</f>
        <v>9.3689458164164101</v>
      </c>
      <c r="O76" s="1">
        <f>2.80169300908443*(3.6/1.055)</f>
        <v>9.5602794622786238</v>
      </c>
    </row>
    <row r="77" spans="1:15" x14ac:dyDescent="0.45">
      <c r="A77" t="s">
        <v>326</v>
      </c>
      <c r="B77" s="1">
        <v>15.238770456499996</v>
      </c>
      <c r="C77" s="1">
        <v>15.1853971974004</v>
      </c>
      <c r="D77" s="1">
        <v>14.910611008709099</v>
      </c>
      <c r="E77" s="1">
        <v>14.861522121538099</v>
      </c>
      <c r="F77" s="1">
        <v>15.151313532968199</v>
      </c>
      <c r="G77" s="1">
        <v>22.727469110395099</v>
      </c>
      <c r="H77" s="1">
        <v>61.492379414313604</v>
      </c>
      <c r="I77" s="1">
        <f t="shared" si="5"/>
        <v>15.206421945274064</v>
      </c>
      <c r="J77" s="1">
        <f>2.20985694594841*(3.6/1.055)</f>
        <v>7.5407440809614146</v>
      </c>
      <c r="K77" s="1">
        <f>1.95676089836176*(3.6/1.055)</f>
        <v>6.6770988000970117</v>
      </c>
      <c r="L77" s="1">
        <f>2.46600927204753*(3.6/1.055)</f>
        <v>8.4148183690721545</v>
      </c>
      <c r="M77" s="1">
        <f>2.77751003968983*(3.6/1.055)</f>
        <v>9.4777593771406554</v>
      </c>
      <c r="N77" s="1">
        <f>2.74629356588549*(3.6/1.055)</f>
        <v>9.3712387082348521</v>
      </c>
      <c r="O77" s="1">
        <f>2.7391495186866*(3.6/1.055)</f>
        <v>9.3468609168452694</v>
      </c>
    </row>
    <row r="78" spans="1:15" x14ac:dyDescent="0.45">
      <c r="A78" t="s">
        <v>327</v>
      </c>
      <c r="B78" s="1">
        <v>15.238770456499999</v>
      </c>
      <c r="C78" s="1">
        <v>15.185397197400398</v>
      </c>
      <c r="D78" s="1">
        <v>14.910611008709097</v>
      </c>
      <c r="E78" s="1">
        <v>14.861522121538099</v>
      </c>
      <c r="F78" s="1">
        <v>15.151313532968199</v>
      </c>
      <c r="G78" s="1">
        <v>22.727469110395099</v>
      </c>
      <c r="H78" s="1">
        <v>61.492379414313589</v>
      </c>
      <c r="I78" s="1">
        <f t="shared" si="5"/>
        <v>15.206421945274068</v>
      </c>
      <c r="J78" s="1">
        <f>2.20987575942144*(3.6/1.055)</f>
        <v>7.5408082785944854</v>
      </c>
      <c r="K78" s="1">
        <f>1.94324629227247*(3.6/1.055)</f>
        <v>6.630982608702281</v>
      </c>
      <c r="L78" s="1">
        <f>2.48768517594381*(3.6/1.055)</f>
        <v>8.4887835387655919</v>
      </c>
      <c r="M78" s="1">
        <f>2.79974252076395*(3.6/1.055)</f>
        <v>9.5536237675357523</v>
      </c>
      <c r="N78" s="1">
        <f>2.74549366898181*(3.6/1.055)</f>
        <v>9.3685092022128114</v>
      </c>
      <c r="O78" s="1">
        <f>2.80165440453439*(3.6/1.055)</f>
        <v>9.560147731112604</v>
      </c>
    </row>
    <row r="79" spans="1:15" x14ac:dyDescent="0.45">
      <c r="A79" t="s">
        <v>328</v>
      </c>
      <c r="B79" s="1">
        <v>15.238770456499996</v>
      </c>
      <c r="C79" s="1">
        <v>15.1853971974004</v>
      </c>
      <c r="D79" s="1">
        <v>14.910611008709097</v>
      </c>
      <c r="E79" s="1">
        <v>14.861522121538099</v>
      </c>
      <c r="F79" s="1">
        <v>15.151313532968199</v>
      </c>
      <c r="G79" s="1">
        <v>22.727469110395099</v>
      </c>
      <c r="H79" s="1">
        <v>61.492379414313596</v>
      </c>
      <c r="I79" s="1">
        <f t="shared" si="5"/>
        <v>15.206421945274064</v>
      </c>
      <c r="J79" s="1">
        <f>2.20987575943177*(3.6/1.055)</f>
        <v>7.5408082786297346</v>
      </c>
      <c r="K79" s="1">
        <f>1.94324629226952*(3.6/1.055)</f>
        <v>6.6309826086921886</v>
      </c>
      <c r="L79" s="1">
        <f>2.48768517590993*(3.6/1.055)</f>
        <v>8.4887835386500115</v>
      </c>
      <c r="M79" s="1">
        <f>2.79974252075876*(3.6/1.055)</f>
        <v>9.5536237675180438</v>
      </c>
      <c r="N79" s="1">
        <f>2.74549366896858*(3.6/1.055)</f>
        <v>9.3685092021676795</v>
      </c>
      <c r="O79" s="1">
        <f>2.80165440452684*(3.6/1.055)</f>
        <v>9.5601477310868361</v>
      </c>
    </row>
    <row r="80" spans="1:15" x14ac:dyDescent="0.45">
      <c r="A80" t="s">
        <v>329</v>
      </c>
      <c r="B80" s="1">
        <v>15.238770456499999</v>
      </c>
      <c r="C80" s="1">
        <v>15.1853971974004</v>
      </c>
      <c r="D80" s="1">
        <v>14.910611008709099</v>
      </c>
      <c r="E80" s="1">
        <v>14.861522121538101</v>
      </c>
      <c r="F80" s="1">
        <v>15.151313532968199</v>
      </c>
      <c r="G80" s="1">
        <v>22.727469110395102</v>
      </c>
      <c r="H80" s="1">
        <v>61.492379414313596</v>
      </c>
      <c r="I80" s="1">
        <f t="shared" si="5"/>
        <v>15.206421945274071</v>
      </c>
      <c r="J80" s="1">
        <f>2.20985165235249*(3.6/1.055)</f>
        <v>7.5407260175061195</v>
      </c>
      <c r="K80" s="1">
        <f>1.95184481973164*(3.6/1.055)</f>
        <v>6.6603235554823863</v>
      </c>
      <c r="L80" s="1">
        <f>2.46823762199922*(3.6/1.055)</f>
        <v>8.422422217248517</v>
      </c>
      <c r="M80" s="1">
        <f>2.77800684859491*(3.6/1.055)</f>
        <v>9.4794546492338032</v>
      </c>
      <c r="N80" s="1">
        <f>2.74618262319161*(3.6/1.055)</f>
        <v>9.3708601360092789</v>
      </c>
      <c r="O80" s="1">
        <f>2.73912537601577*(3.6/1.055)</f>
        <v>9.3467785342718219</v>
      </c>
    </row>
    <row r="81" spans="1:15" x14ac:dyDescent="0.45">
      <c r="A81" t="s">
        <v>330</v>
      </c>
      <c r="B81" s="1">
        <v>15.238770456499998</v>
      </c>
      <c r="C81" s="1">
        <v>15.185397197400398</v>
      </c>
      <c r="D81" s="1">
        <v>14.910611008709102</v>
      </c>
      <c r="E81" s="1">
        <v>14.861522121538096</v>
      </c>
      <c r="F81" s="1">
        <v>15.151313532968199</v>
      </c>
      <c r="G81" s="1">
        <v>22.727469110395099</v>
      </c>
      <c r="H81" s="1">
        <v>61.492379414313604</v>
      </c>
      <c r="I81" s="1">
        <f t="shared" si="5"/>
        <v>15.206421945274061</v>
      </c>
      <c r="J81" s="1">
        <f>2.20970717679517*(3.6/1.055)</f>
        <v>7.5402330203437158</v>
      </c>
      <c r="K81" s="1">
        <f>1.94142516543772*(3.6/1.055)</f>
        <v>6.6247683370386756</v>
      </c>
      <c r="L81" s="1">
        <f>2.49215983379346*(3.6/1.055)</f>
        <v>8.5040525134184595</v>
      </c>
      <c r="M81" s="1">
        <f>2.89256074175786*(3.6/1.055)</f>
        <v>9.8703494505481348</v>
      </c>
      <c r="N81" s="1">
        <f>2.80245772792646*(3.6/1.055)</f>
        <v>9.5628889294173138</v>
      </c>
      <c r="O81" s="1">
        <f>2.80274019098726*(3.6/1.055)</f>
        <v>9.5638527844115195</v>
      </c>
    </row>
    <row r="82" spans="1:15" x14ac:dyDescent="0.45">
      <c r="A82" t="s">
        <v>331</v>
      </c>
      <c r="B82" s="1">
        <v>15.238770456499996</v>
      </c>
      <c r="C82" s="1">
        <v>15.185397197400398</v>
      </c>
      <c r="D82" s="1">
        <v>14.9106110087091</v>
      </c>
      <c r="E82" s="1">
        <v>14.861522121538099</v>
      </c>
      <c r="F82" s="1">
        <v>15.151313532968205</v>
      </c>
      <c r="G82" s="1">
        <v>22.727469110395099</v>
      </c>
      <c r="H82" s="1">
        <v>61.492379414313589</v>
      </c>
      <c r="I82" s="1">
        <f>4.45632643118449*(3.6/1.055)</f>
        <v>15.206421945274073</v>
      </c>
      <c r="J82" s="1">
        <f>2.20970717678964*(3.6/1.055)</f>
        <v>7.5402330203248233</v>
      </c>
      <c r="K82" s="1">
        <f>1.94142516543164*(3.6/1.055)</f>
        <v>6.6247683370179162</v>
      </c>
      <c r="L82" s="1">
        <f>2.49215983381362*(3.6/1.055)</f>
        <v>8.5040525134872329</v>
      </c>
      <c r="M82" s="1">
        <f>2.89256074175356*(3.6/1.055)</f>
        <v>9.8703494505334692</v>
      </c>
      <c r="N82" s="1">
        <f>2.80245772793569*(3.6/1.055)</f>
        <v>9.5628889294487873</v>
      </c>
      <c r="O82" s="1">
        <f>2.80274019097363*(3.6/1.055)</f>
        <v>9.5638527843649879</v>
      </c>
    </row>
    <row r="83" spans="1:15" x14ac:dyDescent="0.45">
      <c r="A83" t="s">
        <v>332</v>
      </c>
      <c r="B83" s="1">
        <v>15.238770456499998</v>
      </c>
      <c r="C83" s="1">
        <v>15.185397197400398</v>
      </c>
      <c r="D83" s="1">
        <v>14.910611008709102</v>
      </c>
      <c r="E83" s="1">
        <v>14.861522121538098</v>
      </c>
      <c r="F83" s="1">
        <v>15.151313532968199</v>
      </c>
      <c r="G83" s="1">
        <v>22.727469110395099</v>
      </c>
      <c r="H83" s="1">
        <v>61.492379414313604</v>
      </c>
      <c r="I83" s="1">
        <f t="shared" ref="I83:I88" si="6">4.45632643118448*(3.6/1.055)</f>
        <v>15.206421945274064</v>
      </c>
      <c r="J83" s="1">
        <f>2.20964806333868*(3.6/1.055)</f>
        <v>7.5400313061793662</v>
      </c>
      <c r="K83" s="1">
        <f>1.94176719448128*(3.6/1.055)</f>
        <v>6.6259354503626708</v>
      </c>
      <c r="L83" s="1">
        <f>2.49233900946551*(3.6/1.055)</f>
        <v>8.5046639185552841</v>
      </c>
      <c r="M83" s="1">
        <f>2.84223644027381*(3.6/1.055)</f>
        <v>9.6986267156262631</v>
      </c>
      <c r="N83" s="1">
        <f>2.8028255908977*(3.6/1.055)</f>
        <v>9.5641441964281739</v>
      </c>
      <c r="O83" s="1">
        <f>2.80297404547804*(3.6/1.055)</f>
        <v>9.5646507712994904</v>
      </c>
    </row>
    <row r="84" spans="1:15" x14ac:dyDescent="0.45">
      <c r="A84" t="s">
        <v>333</v>
      </c>
      <c r="B84" s="1">
        <v>15.238770456499999</v>
      </c>
      <c r="C84" s="1">
        <v>15.185397197400398</v>
      </c>
      <c r="D84" s="1">
        <v>14.910611008709102</v>
      </c>
      <c r="E84" s="1">
        <v>18.142927446401352</v>
      </c>
      <c r="F84" s="1">
        <v>22.180706338270987</v>
      </c>
      <c r="G84" s="1">
        <v>29.135826484466222</v>
      </c>
      <c r="H84" s="1">
        <v>258.85384198493671</v>
      </c>
      <c r="I84" s="1">
        <f t="shared" si="6"/>
        <v>15.206421945274068</v>
      </c>
      <c r="J84" s="1">
        <f>2.21017780285746*(3.6/1.055)</f>
        <v>7.5418389481392119</v>
      </c>
      <c r="K84" s="1">
        <f>1.94415892034861*(3.6/1.055)</f>
        <v>6.6340967898151533</v>
      </c>
      <c r="L84" s="1">
        <f>2.4464319520238*(3.6/1.055)</f>
        <v>8.3480142438726954</v>
      </c>
      <c r="M84" s="1">
        <f>2.71915037079099*(3.6/1.055)</f>
        <v>9.2786173790024371</v>
      </c>
      <c r="N84" s="1">
        <f>2.61764413457703*(3.6/1.055)</f>
        <v>8.9322453881301467</v>
      </c>
      <c r="O84" s="1">
        <f>2.43884660166689*(3.6/1.055)</f>
        <v>8.3221305838870272</v>
      </c>
    </row>
    <row r="85" spans="1:15" x14ac:dyDescent="0.45">
      <c r="A85" t="s">
        <v>334</v>
      </c>
      <c r="B85" s="1">
        <v>15.238770456499998</v>
      </c>
      <c r="C85" s="1">
        <v>15.185397197400398</v>
      </c>
      <c r="D85" s="1">
        <v>14.910611008709099</v>
      </c>
      <c r="E85" s="1">
        <v>17.529206578423668</v>
      </c>
      <c r="F85" s="1">
        <v>23.519406909183363</v>
      </c>
      <c r="G85" s="1">
        <v>32.726044685239827</v>
      </c>
      <c r="H85" s="1">
        <v>260.03551574288804</v>
      </c>
      <c r="I85" s="1">
        <f t="shared" si="6"/>
        <v>15.206421945274068</v>
      </c>
      <c r="J85" s="1">
        <f>2.21016705928855*(3.6/1.055)</f>
        <v>7.5418022876197028</v>
      </c>
      <c r="K85" s="1">
        <f>1.94463715567568*(3.6/1.055)</f>
        <v>6.6357286828743494</v>
      </c>
      <c r="L85" s="1">
        <f>2.4467393959812*(3.6/1.055)</f>
        <v>8.3490633417368034</v>
      </c>
      <c r="M85" s="1">
        <f>2.7198137317922*(3.6/1.055)</f>
        <v>9.2808809805231345</v>
      </c>
      <c r="N85" s="1">
        <f>2.57446285420797*(3.6/1.055)</f>
        <v>8.7848969432688886</v>
      </c>
      <c r="O85" s="1">
        <f>2.40589172545451*(3.6/1.055)</f>
        <v>8.2096779257215644</v>
      </c>
    </row>
    <row r="86" spans="1:15" x14ac:dyDescent="0.45">
      <c r="A86" t="s">
        <v>335</v>
      </c>
      <c r="B86" s="1">
        <v>15.238770456499999</v>
      </c>
      <c r="C86" s="1">
        <v>15.185397197400398</v>
      </c>
      <c r="D86" s="1">
        <v>14.9106110087091</v>
      </c>
      <c r="E86" s="1">
        <v>18.968006322027847</v>
      </c>
      <c r="F86" s="1">
        <v>27.084991065481756</v>
      </c>
      <c r="G86" s="1">
        <v>31.172416878142013</v>
      </c>
      <c r="H86" s="1">
        <v>252.20629228208017</v>
      </c>
      <c r="I86" s="1">
        <f t="shared" si="6"/>
        <v>15.206421945274059</v>
      </c>
      <c r="J86" s="1">
        <f>2.20989984709556*(3.6/1.055)</f>
        <v>7.5408904735014328</v>
      </c>
      <c r="K86" s="1">
        <f>1.9456243300755*(3.6/1.055)</f>
        <v>6.6390972400680628</v>
      </c>
      <c r="L86" s="1">
        <f>2.44757197038634*(3.6/1.055)</f>
        <v>8.3519043539249456</v>
      </c>
      <c r="M86" s="1">
        <f>2.66047285150143*(3.6/1.055)</f>
        <v>9.0783907728958635</v>
      </c>
      <c r="N86" s="1">
        <f>2.56897068910027*(3.6/1.055)</f>
        <v>8.7661559059345624</v>
      </c>
      <c r="O86" s="1">
        <f>2.27612454830641*(3.6/1.055)</f>
        <v>7.7668704965905944</v>
      </c>
    </row>
    <row r="87" spans="1:15" x14ac:dyDescent="0.45">
      <c r="A87" t="s">
        <v>336</v>
      </c>
      <c r="B87" s="1">
        <v>15.238770456499999</v>
      </c>
      <c r="C87" s="1">
        <v>15.1853971974004</v>
      </c>
      <c r="D87" s="1">
        <v>14.9106110087091</v>
      </c>
      <c r="E87" s="1">
        <v>12.403939463727502</v>
      </c>
      <c r="F87" s="1">
        <v>9.6587108284458623</v>
      </c>
      <c r="G87" s="1">
        <v>33.22881701102618</v>
      </c>
      <c r="H87" s="1">
        <v>253.99220997652611</v>
      </c>
      <c r="I87" s="1">
        <f t="shared" si="6"/>
        <v>15.206421945274052</v>
      </c>
      <c r="J87" s="1">
        <f>2.21057155632451*(3.6/1.055)</f>
        <v>7.5431825618656205</v>
      </c>
      <c r="K87" s="1">
        <f>1.9271186676575*(3.6/1.055)</f>
        <v>6.5759499559876717</v>
      </c>
      <c r="L87" s="1">
        <f>2.44484751358275*(3.6/1.055)</f>
        <v>8.3426076292870945</v>
      </c>
      <c r="M87" s="1">
        <f>2.84009217943786*(3.6/1.055)</f>
        <v>9.6913098066126082</v>
      </c>
      <c r="N87" s="1">
        <f>2.68923686983416*(3.6/1.055)</f>
        <v>9.1765428733677439</v>
      </c>
      <c r="O87" s="1">
        <f>2.46295649980886*(3.6/1.055)</f>
        <v>8.4044013263619721</v>
      </c>
    </row>
    <row r="88" spans="1:15" x14ac:dyDescent="0.45">
      <c r="A88" t="s">
        <v>337</v>
      </c>
      <c r="B88" s="1">
        <v>15.238770456499998</v>
      </c>
      <c r="C88" s="1">
        <v>15.1853971974004</v>
      </c>
      <c r="D88" s="1">
        <v>14.9106110087091</v>
      </c>
      <c r="E88" s="1">
        <v>12.491528958398195</v>
      </c>
      <c r="F88" s="1">
        <v>9.7039413994265757</v>
      </c>
      <c r="G88" s="1">
        <v>33.38616527142387</v>
      </c>
      <c r="H88" s="1">
        <v>254.02957862292141</v>
      </c>
      <c r="I88" s="1">
        <f t="shared" si="6"/>
        <v>15.206421945274061</v>
      </c>
      <c r="J88" s="1">
        <f>2.21057898574334*(3.6/1.055)</f>
        <v>7.5432079134369969</v>
      </c>
      <c r="K88" s="1">
        <f>1.92703374786553*(3.6/1.055)</f>
        <v>6.5756601822899752</v>
      </c>
      <c r="L88" s="1">
        <f>2.44489162428502*(3.6/1.055)</f>
        <v>8.3427581492190139</v>
      </c>
      <c r="M88" s="1">
        <f>2.84000677980129*(3.6/1.055)</f>
        <v>9.6910183955304738</v>
      </c>
      <c r="N88" s="1">
        <f>2.68895972543341*(3.6/1.055)</f>
        <v>9.1755971673557095</v>
      </c>
      <c r="O88" s="1">
        <f>2.46249161030767*(3.6/1.055)</f>
        <v>8.402814973561723</v>
      </c>
    </row>
    <row r="89" spans="1:15" x14ac:dyDescent="0.45">
      <c r="A89" t="s">
        <v>338</v>
      </c>
      <c r="B89" s="1">
        <v>15.238770456499998</v>
      </c>
      <c r="C89" s="1">
        <v>15.185397197400398</v>
      </c>
      <c r="D89" s="1">
        <v>14.910611008709099</v>
      </c>
      <c r="E89" s="1">
        <v>13.800704807655466</v>
      </c>
      <c r="F89" s="1">
        <v>8.0548391346338359</v>
      </c>
      <c r="G89" s="1">
        <v>37.404169025114797</v>
      </c>
      <c r="H89" s="1">
        <v>216.99948221485403</v>
      </c>
      <c r="I89" s="1">
        <f>4.45632643118449*(3.6/1.055)</f>
        <v>15.206421945274073</v>
      </c>
      <c r="J89" s="1">
        <f>2.21018052603089*(3.6/1.055)</f>
        <v>7.5418482404845664</v>
      </c>
      <c r="K89" s="1">
        <f>1.92840796993268*(3.6/1.055)</f>
        <v>6.5803494708603267</v>
      </c>
      <c r="L89" s="1">
        <f>2.44504844478264*(3.6/1.055)</f>
        <v>8.3432932712962042</v>
      </c>
      <c r="M89" s="1">
        <f>2.7794296362265*(3.6/1.055)</f>
        <v>9.4843096591615286</v>
      </c>
      <c r="N89" s="1">
        <f>2.69073396400815*(3.6/1.055)</f>
        <v>9.1816514411652523</v>
      </c>
      <c r="O89" s="1">
        <f>2.29319743526881*(3.6/1.055)</f>
        <v>7.8251286890689178</v>
      </c>
    </row>
    <row r="90" spans="1:15" x14ac:dyDescent="0.45">
      <c r="A90" t="s">
        <v>339</v>
      </c>
      <c r="B90" s="1">
        <v>15.238770456499998</v>
      </c>
      <c r="C90" s="1">
        <v>15.1853971974004</v>
      </c>
      <c r="D90" s="1">
        <v>14.910611008709099</v>
      </c>
      <c r="E90" s="1">
        <v>6.4144196352429912</v>
      </c>
      <c r="F90" s="1">
        <v>15.151313532968201</v>
      </c>
      <c r="G90" s="1">
        <v>32.741137717348117</v>
      </c>
      <c r="H90" s="1">
        <v>243.32015677826922</v>
      </c>
      <c r="I90" s="1">
        <f t="shared" ref="I90:I96" si="7">4.45632643118448*(3.6/1.055)</f>
        <v>15.206421945274064</v>
      </c>
      <c r="J90" s="1">
        <f>2.21045001542599*(3.6/1.055)</f>
        <v>7.542767825150289</v>
      </c>
      <c r="K90" s="1">
        <f>1.91280114694781*(3.6/1.055)</f>
        <v>6.5270939611489203</v>
      </c>
      <c r="L90" s="1">
        <f>2.4440586266933*(3.6/1.055)</f>
        <v>8.3399156929818865</v>
      </c>
      <c r="M90" s="1">
        <f>2.90317869089231*(3.6/1.055)</f>
        <v>9.9065813148931827</v>
      </c>
      <c r="N90" s="1">
        <f>2.8021605237505*(3.6/1.055)</f>
        <v>9.561874772987478</v>
      </c>
      <c r="O90" s="1">
        <f>2.5524060221736*(3.6/1.055)</f>
        <v>8.709631924004702</v>
      </c>
    </row>
    <row r="91" spans="1:15" x14ac:dyDescent="0.45">
      <c r="A91" t="s">
        <v>340</v>
      </c>
      <c r="B91" s="1">
        <v>15.238770456499999</v>
      </c>
      <c r="C91" s="1">
        <v>15.1853971974004</v>
      </c>
      <c r="D91" s="1">
        <v>14.910611008709102</v>
      </c>
      <c r="E91" s="1">
        <v>6.4103997454037298</v>
      </c>
      <c r="F91" s="1">
        <v>15.151313532968199</v>
      </c>
      <c r="G91" s="1">
        <v>32.693956307902766</v>
      </c>
      <c r="H91" s="1">
        <v>245.89351799661154</v>
      </c>
      <c r="I91" s="1">
        <f t="shared" si="7"/>
        <v>15.20642194527405</v>
      </c>
      <c r="J91" s="1">
        <f>2.21048682996345*(3.6/1.055)</f>
        <v>7.5428934482165149</v>
      </c>
      <c r="K91" s="1">
        <f>1.91277393046884*(3.6/1.055)</f>
        <v>6.527001089751483</v>
      </c>
      <c r="L91" s="1">
        <f>2.44404502281705*(3.6/1.055)</f>
        <v>8.3398692721719403</v>
      </c>
      <c r="M91" s="1">
        <f>2.90317343761487*(3.6/1.055)</f>
        <v>9.9065633890175526</v>
      </c>
      <c r="N91" s="1">
        <f>2.80175231405065*(3.6/1.055)</f>
        <v>9.5604818299358527</v>
      </c>
      <c r="O91" s="1">
        <f>2.48865808065202*(3.6/1.055)</f>
        <v>8.4921034031727753</v>
      </c>
    </row>
    <row r="92" spans="1:15" x14ac:dyDescent="0.45">
      <c r="A92" t="s">
        <v>341</v>
      </c>
      <c r="B92" s="1">
        <v>15.238770456499996</v>
      </c>
      <c r="C92" s="1">
        <v>15.185397197400402</v>
      </c>
      <c r="D92" s="1">
        <v>14.9106110087091</v>
      </c>
      <c r="E92" s="1">
        <v>8.2393049160178116</v>
      </c>
      <c r="F92" s="1">
        <v>15.151313532968203</v>
      </c>
      <c r="G92" s="1">
        <v>38.468138811277989</v>
      </c>
      <c r="H92" s="1">
        <v>188.72935256339895</v>
      </c>
      <c r="I92" s="1">
        <f t="shared" si="7"/>
        <v>15.206421945274064</v>
      </c>
      <c r="J92" s="1">
        <f>2.21044078966019*(3.6/1.055)</f>
        <v>7.5427363438641537</v>
      </c>
      <c r="K92" s="1">
        <f>1.91374827735817*(3.6/1.055)</f>
        <v>6.5303258753454161</v>
      </c>
      <c r="L92" s="1">
        <f>2.44397523446592*(3.6/1.055)</f>
        <v>8.3396311318268221</v>
      </c>
      <c r="M92" s="1">
        <f>2.90250983512081*(3.6/1.055)</f>
        <v>9.9042989634454361</v>
      </c>
      <c r="N92" s="1">
        <f>2.80456991488073*(3.6/1.055)</f>
        <v>9.5700963920100595</v>
      </c>
      <c r="O92" s="1">
        <f>2.32444239249649*(3.6/1.055)</f>
        <v>7.9317465525946593</v>
      </c>
    </row>
    <row r="93" spans="1:15" x14ac:dyDescent="0.45">
      <c r="A93" t="s">
        <v>342</v>
      </c>
      <c r="B93" s="1">
        <v>15.238770456499998</v>
      </c>
      <c r="C93" s="1">
        <v>15.185397197400402</v>
      </c>
      <c r="D93" s="1">
        <v>14.910611008709099</v>
      </c>
      <c r="E93" s="1">
        <v>14.861522121538099</v>
      </c>
      <c r="F93" s="1">
        <v>15.151313532968201</v>
      </c>
      <c r="G93" s="1">
        <v>22.727469110395099</v>
      </c>
      <c r="H93" s="1">
        <v>61.492379414313596</v>
      </c>
      <c r="I93" s="1">
        <f t="shared" si="7"/>
        <v>15.206421945274064</v>
      </c>
      <c r="J93" s="1">
        <f>2.20991739768728*(3.6/1.055)</f>
        <v>7.5409503617764964</v>
      </c>
      <c r="K93" s="1">
        <f>1.95664925281146*(3.6/1.055)</f>
        <v>6.6767178294988332</v>
      </c>
      <c r="L93" s="1">
        <f>2.44161961986504*(3.6/1.055)</f>
        <v>8.3315930156532332</v>
      </c>
      <c r="M93" s="1">
        <f>2.83594037356555*(3.6/1.055)</f>
        <v>9.6771425069535386</v>
      </c>
      <c r="N93" s="1">
        <f>3.01562240901267*(3.6/1.055)</f>
        <v>10.290275518905789</v>
      </c>
      <c r="O93" s="1">
        <f>2.98343619859504*(3.6/1.055)</f>
        <v>10.180445796153689</v>
      </c>
    </row>
    <row r="94" spans="1:15" x14ac:dyDescent="0.45">
      <c r="A94" t="s">
        <v>343</v>
      </c>
      <c r="B94" s="1">
        <v>15.238770456499998</v>
      </c>
      <c r="C94" s="1">
        <v>15.1853971974004</v>
      </c>
      <c r="D94" s="1">
        <v>14.910611008709099</v>
      </c>
      <c r="E94" s="1">
        <v>14.861522121538099</v>
      </c>
      <c r="F94" s="1">
        <v>15.151313532968199</v>
      </c>
      <c r="G94" s="1">
        <v>22.727469110395099</v>
      </c>
      <c r="H94" s="1">
        <v>61.492379414313596</v>
      </c>
      <c r="I94" s="1">
        <f t="shared" si="7"/>
        <v>15.206421945274061</v>
      </c>
      <c r="J94" s="1">
        <f>2.20991352031675*(3.6/1.055)</f>
        <v>7.540937130938679</v>
      </c>
      <c r="K94" s="1">
        <f>1.95660955722502*(3.6/1.055)</f>
        <v>6.6765823753650011</v>
      </c>
      <c r="L94" s="1">
        <f>2.44158482916081*(3.6/1.055)</f>
        <v>8.331474298558204</v>
      </c>
      <c r="M94" s="1">
        <f>2.83591298923864*(3.6/1.055)</f>
        <v>9.6770490628048389</v>
      </c>
      <c r="N94" s="1">
        <f>3.01567609559098*(3.6/1.055)</f>
        <v>10.290458714812836</v>
      </c>
      <c r="O94" s="1">
        <f>2.98376177184149*(3.6/1.055)</f>
        <v>10.181556756994661</v>
      </c>
    </row>
    <row r="95" spans="1:15" x14ac:dyDescent="0.45">
      <c r="A95" t="s">
        <v>344</v>
      </c>
      <c r="B95" s="1">
        <v>15.238770456499998</v>
      </c>
      <c r="C95" s="1">
        <v>15.1853971974004</v>
      </c>
      <c r="D95" s="1">
        <v>14.9106110087091</v>
      </c>
      <c r="E95" s="1">
        <v>14.861522121538099</v>
      </c>
      <c r="F95" s="1">
        <v>15.151313532968201</v>
      </c>
      <c r="G95" s="1">
        <v>22.727469110395099</v>
      </c>
      <c r="H95" s="1">
        <v>61.492379414313596</v>
      </c>
      <c r="I95" s="1">
        <f t="shared" si="7"/>
        <v>15.206421945274071</v>
      </c>
      <c r="J95" s="1">
        <f>2.20988375735535*(3.6/1.055)</f>
        <v>7.5408355701225265</v>
      </c>
      <c r="K95" s="1">
        <f>1.94245796300862*(3.6/1.055)</f>
        <v>6.6282925751953012</v>
      </c>
      <c r="L95" s="1">
        <f>2.44065814747331*(3.6/1.055)</f>
        <v>8.328312161994246</v>
      </c>
      <c r="M95" s="1">
        <f>2.83371379662659*(3.6/1.055)</f>
        <v>9.6695447088679778</v>
      </c>
      <c r="N95" s="1">
        <f>2.95802599818084*(3.6/1.055)</f>
        <v>10.093738003271122</v>
      </c>
      <c r="O95" s="1">
        <f>2.98183036018207*(3.6/1.055)</f>
        <v>10.174966157967239</v>
      </c>
    </row>
    <row r="96" spans="1:15" x14ac:dyDescent="0.45">
      <c r="A96" t="s">
        <v>345</v>
      </c>
      <c r="B96" s="1">
        <v>15.238770456499999</v>
      </c>
      <c r="C96" s="1">
        <v>15.185397197400398</v>
      </c>
      <c r="D96" s="1">
        <v>14.9106110087091</v>
      </c>
      <c r="E96" s="1">
        <v>14.861522121538099</v>
      </c>
      <c r="F96" s="1">
        <v>15.151313532968199</v>
      </c>
      <c r="G96" s="1">
        <v>22.727469110395099</v>
      </c>
      <c r="H96" s="1">
        <v>61.492379414313604</v>
      </c>
      <c r="I96" s="1">
        <f t="shared" si="7"/>
        <v>15.206421945274068</v>
      </c>
      <c r="J96" s="1">
        <f>2.2098937328509*(3.6/1.055)</f>
        <v>7.5408696097281807</v>
      </c>
      <c r="K96" s="1">
        <f>1.94287489903743*(3.6/1.055)</f>
        <v>6.6297152952935976</v>
      </c>
      <c r="L96" s="1">
        <f>2.44166628491412*(3.6/1.055)</f>
        <v>8.3317522518396476</v>
      </c>
      <c r="M96" s="1">
        <f>2.83637606448782*(3.6/1.055)</f>
        <v>9.6786292247925587</v>
      </c>
      <c r="N96" s="1">
        <f>3.01600315974712*(3.6/1.055)</f>
        <v>10.291574763118144</v>
      </c>
      <c r="O96" s="1">
        <f>2.98332570441766*(3.6/1.055)</f>
        <v>10.180068754410955</v>
      </c>
    </row>
    <row r="97" spans="1:15" x14ac:dyDescent="0.45">
      <c r="A97" t="s">
        <v>346</v>
      </c>
      <c r="B97" s="1">
        <v>15.238770456499996</v>
      </c>
      <c r="C97" s="1">
        <v>15.1853971974004</v>
      </c>
      <c r="D97" s="1">
        <v>14.9106110087091</v>
      </c>
      <c r="E97" s="1">
        <v>14.861522121538099</v>
      </c>
      <c r="F97" s="1">
        <v>15.151313532968201</v>
      </c>
      <c r="G97" s="1">
        <v>22.727469110395099</v>
      </c>
      <c r="H97" s="1">
        <v>61.492379414313604</v>
      </c>
      <c r="I97" s="1">
        <f>4.45632643118449*(3.6/1.055)</f>
        <v>15.206421945274077</v>
      </c>
      <c r="J97" s="1">
        <f>2.20988803250892*(3.6/1.055)</f>
        <v>7.5408501583242842</v>
      </c>
      <c r="K97" s="1">
        <f>1.94280860305103*(3.6/1.055)</f>
        <v>6.629489072022464</v>
      </c>
      <c r="L97" s="1">
        <f>2.44162059753654*(3.6/1.055)</f>
        <v>8.3315963517834604</v>
      </c>
      <c r="M97" s="1">
        <f>2.83637638898831*(3.6/1.055)</f>
        <v>9.6786303320928262</v>
      </c>
      <c r="N97" s="1">
        <f>3.01606971822754*(3.6/1.055)</f>
        <v>10.291801882103453</v>
      </c>
      <c r="O97" s="1">
        <f>2.98364497147198*(3.6/1.055)</f>
        <v>10.181158196492062</v>
      </c>
    </row>
    <row r="98" spans="1:15" x14ac:dyDescent="0.45">
      <c r="A98" t="s">
        <v>347</v>
      </c>
      <c r="B98" s="1">
        <v>15.238770456499996</v>
      </c>
      <c r="C98" s="1">
        <v>15.185397197400398</v>
      </c>
      <c r="D98" s="1">
        <v>14.9106110087091</v>
      </c>
      <c r="E98" s="1">
        <v>14.861522121538098</v>
      </c>
      <c r="F98" s="1">
        <v>15.151313532968198</v>
      </c>
      <c r="G98" s="1">
        <v>22.727469110395099</v>
      </c>
      <c r="H98" s="1">
        <v>61.492379414313604</v>
      </c>
      <c r="I98" s="1">
        <f>4.45632643118448*(3.6/1.055)</f>
        <v>15.206421945274055</v>
      </c>
      <c r="J98" s="1">
        <f>2.20988820542653*(3.6/1.055)</f>
        <v>7.5408507483748934</v>
      </c>
      <c r="K98" s="1">
        <f>1.94231945075377*(3.6/1.055)</f>
        <v>6.6278199267427249</v>
      </c>
      <c r="L98" s="1">
        <f>2.44044589082353*(3.6/1.055)</f>
        <v>8.3275878739001907</v>
      </c>
      <c r="M98" s="1">
        <f>2.83426835862445*(3.6/1.055)</f>
        <v>9.6714370531260947</v>
      </c>
      <c r="N98" s="1">
        <f>2.95841206953378*(3.6/1.055)</f>
        <v>10.095055403148431</v>
      </c>
      <c r="O98" s="1">
        <f>2.98169050067908*(3.6/1.055)</f>
        <v>10.174488912269839</v>
      </c>
    </row>
    <row r="99" spans="1:15" x14ac:dyDescent="0.45">
      <c r="A99" t="s">
        <v>348</v>
      </c>
      <c r="B99" s="1">
        <v>15.238770456499996</v>
      </c>
      <c r="C99" s="1">
        <v>15.185397197400398</v>
      </c>
      <c r="D99" s="1">
        <v>14.9106110087091</v>
      </c>
      <c r="E99" s="1">
        <v>14.861522121538099</v>
      </c>
      <c r="F99" s="1">
        <v>15.151313532968199</v>
      </c>
      <c r="G99" s="1">
        <v>22.727469110395099</v>
      </c>
      <c r="H99" s="1">
        <v>61.492379414313611</v>
      </c>
      <c r="I99" s="1">
        <f>4.45632643118449*(3.6/1.055)</f>
        <v>15.206421945274077</v>
      </c>
      <c r="J99" s="1">
        <f>2.20975480490111*(3.6/1.055)</f>
        <v>7.5403955427905256</v>
      </c>
      <c r="K99" s="1">
        <f>1.94138383075186*(3.6/1.055)</f>
        <v>6.6246272897693652</v>
      </c>
      <c r="L99" s="1">
        <f>2.49279268149682*(3.6/1.055)</f>
        <v>8.506211993733233</v>
      </c>
      <c r="M99" s="1">
        <f>2.89854080556239*(3.6/1.055)</f>
        <v>9.8907553554735621</v>
      </c>
      <c r="N99" s="1">
        <f>3.03775234106449*(3.6/1.055)</f>
        <v>10.365789978987845</v>
      </c>
      <c r="O99" s="1">
        <f>2.98594396567097*(3.6/1.055)</f>
        <v>10.189003105607092</v>
      </c>
    </row>
    <row r="100" spans="1:15" x14ac:dyDescent="0.45">
      <c r="A100" t="s">
        <v>349</v>
      </c>
      <c r="B100" s="1">
        <v>15.238770456499998</v>
      </c>
      <c r="C100" s="1">
        <v>15.1853971974004</v>
      </c>
      <c r="D100" s="1">
        <v>14.9106110087091</v>
      </c>
      <c r="E100" s="1">
        <v>14.861522121538098</v>
      </c>
      <c r="F100" s="1">
        <v>15.151313532968199</v>
      </c>
      <c r="G100" s="1">
        <v>22.727469110395099</v>
      </c>
      <c r="H100" s="1">
        <v>61.492379414313596</v>
      </c>
      <c r="I100" s="1">
        <f t="shared" ref="I100:I109" si="8">4.45632643118448*(3.6/1.055)</f>
        <v>15.206421945274071</v>
      </c>
      <c r="J100" s="1">
        <f>2.20976637340445*(3.6/1.055)</f>
        <v>7.5404350182521629</v>
      </c>
      <c r="K100" s="1">
        <f>1.94143894059807*(3.6/1.055)</f>
        <v>6.624815342325169</v>
      </c>
      <c r="L100" s="1">
        <f>2.49279273742577*(3.6/1.055)</f>
        <v>8.5062121845808125</v>
      </c>
      <c r="M100" s="1">
        <f>2.89851142137655*(3.6/1.055)</f>
        <v>9.8906550871616883</v>
      </c>
      <c r="N100" s="1">
        <f>3.01655336367931*(3.6/1.055)</f>
        <v>10.293452236251664</v>
      </c>
      <c r="O100" s="1">
        <f>2.98590829457496*(3.6/1.055)</f>
        <v>10.18888138433163</v>
      </c>
    </row>
    <row r="101" spans="1:15" x14ac:dyDescent="0.45">
      <c r="A101" t="s">
        <v>350</v>
      </c>
      <c r="B101" s="1">
        <v>15.238770456499996</v>
      </c>
      <c r="C101" s="1">
        <v>15.1853971974004</v>
      </c>
      <c r="D101" s="1">
        <v>14.910611008709102</v>
      </c>
      <c r="E101" s="1">
        <v>14.861522121538099</v>
      </c>
      <c r="F101" s="1">
        <v>15.151313532968201</v>
      </c>
      <c r="G101" s="1">
        <v>22.727469110395099</v>
      </c>
      <c r="H101" s="1">
        <v>61.492379414313589</v>
      </c>
      <c r="I101" s="1">
        <f t="shared" si="8"/>
        <v>15.206421945274061</v>
      </c>
      <c r="J101" s="1">
        <f>2.20970094640096*(3.6/1.055)</f>
        <v>7.5402117602307586</v>
      </c>
      <c r="K101" s="1">
        <f>1.92769252282044*(3.6/1.055)</f>
        <v>6.5779081347427377</v>
      </c>
      <c r="L101" s="1">
        <f>2.46873082862592*(3.6/1.055)</f>
        <v>8.4241051972069148</v>
      </c>
      <c r="M101" s="1">
        <f>2.89704717617243*(3.6/1.055)</f>
        <v>9.8856586106357796</v>
      </c>
      <c r="N101" s="1">
        <f>3.01452478442282*(3.6/1.055)</f>
        <v>10.286530070068407</v>
      </c>
      <c r="O101" s="1">
        <f>2.9813542514604*(3.6/1.055)</f>
        <v>10.173341521571032</v>
      </c>
    </row>
    <row r="102" spans="1:15" x14ac:dyDescent="0.45">
      <c r="A102" t="s">
        <v>351</v>
      </c>
      <c r="B102" s="1">
        <v>15.238770456499996</v>
      </c>
      <c r="C102" s="1">
        <v>15.185397197400398</v>
      </c>
      <c r="D102" s="1">
        <v>14.910611008709099</v>
      </c>
      <c r="E102" s="1">
        <v>4.4102115075708017</v>
      </c>
      <c r="F102" s="1">
        <v>3.0800611021870048</v>
      </c>
      <c r="G102" s="1">
        <v>83.605193780194057</v>
      </c>
      <c r="H102" s="1">
        <v>321.35768825470535</v>
      </c>
      <c r="I102" s="1">
        <f t="shared" si="8"/>
        <v>15.206421945274064</v>
      </c>
      <c r="J102" s="1">
        <f>2.21048790629354*(3.6/1.055)</f>
        <v>7.5428971210016389</v>
      </c>
      <c r="K102" s="1">
        <f>1.92681508203163*(3.6/1.055)</f>
        <v>6.5749140239941744</v>
      </c>
      <c r="L102" s="1">
        <f>2.49364344174894*(3.6/1.055)</f>
        <v>8.5091150618921176</v>
      </c>
      <c r="M102" s="1">
        <f>2.89992254813653*(3.6/1.055)</f>
        <v>9.8954703064374439</v>
      </c>
      <c r="N102" s="1">
        <f>2.86179116706946*(3.6/1.055)</f>
        <v>9.7653537454502821</v>
      </c>
      <c r="O102" s="1">
        <f>2.54165524712596*(3.6/1.055)</f>
        <v>8.6729468148374007</v>
      </c>
    </row>
    <row r="103" spans="1:15" x14ac:dyDescent="0.45">
      <c r="A103" t="s">
        <v>352</v>
      </c>
      <c r="B103" s="1">
        <v>15.238770456499999</v>
      </c>
      <c r="C103" s="1">
        <v>15.185397197400398</v>
      </c>
      <c r="D103" s="1">
        <v>14.910611008709099</v>
      </c>
      <c r="E103" s="1">
        <v>3.7530703992338044</v>
      </c>
      <c r="F103" s="1">
        <v>8.1287668154911454</v>
      </c>
      <c r="G103" s="1">
        <v>84.328427223138519</v>
      </c>
      <c r="H103" s="1">
        <v>245.37049627236763</v>
      </c>
      <c r="I103" s="1">
        <f t="shared" si="8"/>
        <v>15.206421945274068</v>
      </c>
      <c r="J103" s="1">
        <f>2.21036953021311*(3.6/1.055)</f>
        <v>7.5424931836655915</v>
      </c>
      <c r="K103" s="1">
        <f>1.92683345315157*(3.6/1.055)</f>
        <v>6.5749767121759586</v>
      </c>
      <c r="L103" s="1">
        <f>2.49339408344327*(3.6/1.055)</f>
        <v>8.5082641709912608</v>
      </c>
      <c r="M103" s="1">
        <f>2.89954924566043*(3.6/1.055)</f>
        <v>9.8941964780829839</v>
      </c>
      <c r="N103" s="1">
        <f>2.86131043077364*(3.6/1.055)</f>
        <v>9.763713318279704</v>
      </c>
      <c r="O103" s="1">
        <f>2.35138468413163*(3.6/1.055)</f>
        <v>8.0236823344775967</v>
      </c>
    </row>
    <row r="104" spans="1:15" x14ac:dyDescent="0.45">
      <c r="A104" t="s">
        <v>353</v>
      </c>
      <c r="B104" s="1">
        <v>15.238770456499999</v>
      </c>
      <c r="C104" s="1">
        <v>15.185397197400397</v>
      </c>
      <c r="D104" s="1">
        <v>14.910611008709099</v>
      </c>
      <c r="E104" s="1">
        <v>11.280842692820929</v>
      </c>
      <c r="F104" s="1">
        <v>26.85736728123835</v>
      </c>
      <c r="G104" s="1">
        <v>43.888427724492473</v>
      </c>
      <c r="H104" s="1">
        <v>195.01353753161541</v>
      </c>
      <c r="I104" s="1">
        <f t="shared" si="8"/>
        <v>15.206421945274064</v>
      </c>
      <c r="J104" s="1">
        <f>2.21011132742281*(3.6/1.055)</f>
        <v>7.5416121125327953</v>
      </c>
      <c r="K104" s="1">
        <f>1.92916970644511*(3.6/1.055)</f>
        <v>6.5829487613292743</v>
      </c>
      <c r="L104" s="1">
        <f>2.44406263530022*(3.6/1.055)</f>
        <v>8.3399293716405669</v>
      </c>
      <c r="M104" s="1">
        <f>2.7913769163289*(3.6/1.055)</f>
        <v>9.5250776291791759</v>
      </c>
      <c r="N104" s="1">
        <f>2.68143100535861*(3.6/1.055)</f>
        <v>9.1499067481431204</v>
      </c>
      <c r="O104" s="1">
        <f>2.27944841528066*(3.6/1.055)</f>
        <v>7.7782126019055537</v>
      </c>
    </row>
    <row r="105" spans="1:15" x14ac:dyDescent="0.45">
      <c r="A105" t="s">
        <v>354</v>
      </c>
      <c r="B105" s="1">
        <v>15.238770456499996</v>
      </c>
      <c r="C105" s="1">
        <v>15.1853971974004</v>
      </c>
      <c r="D105" s="1">
        <v>14.9106110087091</v>
      </c>
      <c r="E105" s="1">
        <v>0.49221045330435181</v>
      </c>
      <c r="F105" s="1">
        <v>15.151313532968201</v>
      </c>
      <c r="G105" s="1">
        <v>65.738874921902408</v>
      </c>
      <c r="H105" s="1">
        <v>309.13167836354825</v>
      </c>
      <c r="I105" s="1">
        <f t="shared" si="8"/>
        <v>15.206421945274068</v>
      </c>
      <c r="J105" s="1">
        <f>2.21059117626532*(3.6/1.055)</f>
        <v>7.5432495114266862</v>
      </c>
      <c r="K105" s="1">
        <f>1.91236264909641*(3.6/1.055)</f>
        <v>6.5255976651631027</v>
      </c>
      <c r="L105" s="1">
        <f>2.49258825633249*(3.6/1.055)</f>
        <v>8.50551442919142</v>
      </c>
      <c r="M105" s="1">
        <f>2.96166663077245*(3.6/1.055)</f>
        <v>10.106161014958131</v>
      </c>
      <c r="N105" s="1">
        <f>2.97079770796337*(3.6/1.055)</f>
        <v>10.137319193050356</v>
      </c>
      <c r="O105" s="1">
        <f>2.60892760060047*(3.6/1.055)</f>
        <v>8.9025017650821656</v>
      </c>
    </row>
    <row r="106" spans="1:15" x14ac:dyDescent="0.45">
      <c r="A106" t="s">
        <v>355</v>
      </c>
      <c r="B106" s="1">
        <v>15.238770456499998</v>
      </c>
      <c r="C106" s="1">
        <v>15.185397197400398</v>
      </c>
      <c r="D106" s="1">
        <v>14.910611008709102</v>
      </c>
      <c r="E106" s="1">
        <v>1.1298729734670114</v>
      </c>
      <c r="F106" s="1">
        <v>15.151313532968201</v>
      </c>
      <c r="G106" s="1">
        <v>65.746476196585363</v>
      </c>
      <c r="H106" s="1">
        <v>242.36356897812752</v>
      </c>
      <c r="I106" s="1">
        <f t="shared" si="8"/>
        <v>15.206421945274061</v>
      </c>
      <c r="J106" s="1">
        <f>2.21045752882422*(3.6/1.055)</f>
        <v>7.5427934632864515</v>
      </c>
      <c r="K106" s="1">
        <f>1.91274712501656*(3.6/1.055)</f>
        <v>6.5269096209095885</v>
      </c>
      <c r="L106" s="1">
        <f>2.49265527198484*(3.6/1.055)</f>
        <v>8.5057431081947001</v>
      </c>
      <c r="M106" s="1">
        <f>2.9234987345849*(3.6/1.055)</f>
        <v>9.9759198526119874</v>
      </c>
      <c r="N106" s="1">
        <f>2.914817704117*(3.6/1.055)</f>
        <v>9.9462973789774392</v>
      </c>
      <c r="O106" s="1">
        <f>2.40619829562034*(3.6/1.055)</f>
        <v>8.2107240419272198</v>
      </c>
    </row>
    <row r="107" spans="1:15" x14ac:dyDescent="0.45">
      <c r="A107" t="s">
        <v>356</v>
      </c>
      <c r="B107" s="1">
        <v>15.238770456499999</v>
      </c>
      <c r="C107" s="1">
        <v>15.185397197400398</v>
      </c>
      <c r="D107" s="1">
        <v>14.9106110087091</v>
      </c>
      <c r="E107" s="1">
        <v>8.3590355213309753</v>
      </c>
      <c r="F107" s="1">
        <v>0.88677357143699487</v>
      </c>
      <c r="G107" s="1">
        <v>48.110014838251068</v>
      </c>
      <c r="H107" s="1">
        <v>179.6719304879463</v>
      </c>
      <c r="I107" s="1">
        <f t="shared" si="8"/>
        <v>15.206421945274068</v>
      </c>
      <c r="J107" s="1">
        <f>2.21040599921585*(3.6/1.055)</f>
        <v>7.5426176276559866</v>
      </c>
      <c r="K107" s="1">
        <f>1.91334937464024*(3.6/1.055)</f>
        <v>6.5289646907155259</v>
      </c>
      <c r="L107" s="1">
        <f>2.44310502000503*(3.6/1.055)</f>
        <v>8.3366616796380324</v>
      </c>
      <c r="M107" s="1">
        <f>2.89748120641177*(3.6/1.055)</f>
        <v>9.8871396616894689</v>
      </c>
      <c r="N107" s="1">
        <f>2.79485817564702*(3.6/1.055)</f>
        <v>9.5369568078950362</v>
      </c>
      <c r="O107" s="1">
        <f>2.28848563595412*(3.6/1.055)</f>
        <v>7.8090505113126358</v>
      </c>
    </row>
    <row r="108" spans="1:15" x14ac:dyDescent="0.45">
      <c r="A108" t="s">
        <v>357</v>
      </c>
      <c r="B108" s="1">
        <v>15.238770456499996</v>
      </c>
      <c r="C108" s="1">
        <v>15.185397197400397</v>
      </c>
      <c r="D108" s="1">
        <v>14.910611008709102</v>
      </c>
      <c r="E108" s="1">
        <v>14.861522121538099</v>
      </c>
      <c r="F108" s="1">
        <v>15.151313532968199</v>
      </c>
      <c r="G108" s="1">
        <v>49.712830909597294</v>
      </c>
      <c r="H108" s="1">
        <v>282.94979880012784</v>
      </c>
      <c r="I108" s="1">
        <f t="shared" si="8"/>
        <v>15.206421945274052</v>
      </c>
      <c r="J108" s="1">
        <f>2.21077768214754*(3.6/1.055)</f>
        <v>7.5438859296029923</v>
      </c>
      <c r="K108" s="1">
        <f>1.91224603899803*(3.6/1.055)</f>
        <v>6.5251997539269322</v>
      </c>
      <c r="L108" s="1">
        <f>2.49317644622705*(3.6/1.055)</f>
        <v>8.507521522670487</v>
      </c>
      <c r="M108" s="1">
        <f>2.95697851580998*(3.6/1.055)</f>
        <v>10.090163655844474</v>
      </c>
      <c r="N108" s="1">
        <f>3.02459878167461*(3.6/1.055)</f>
        <v>10.320905795287752</v>
      </c>
      <c r="O108" s="1">
        <f>2.67498979772531*(3.6/1.055)</f>
        <v>9.1279272718588924</v>
      </c>
    </row>
    <row r="109" spans="1:15" x14ac:dyDescent="0.45">
      <c r="A109" t="s">
        <v>358</v>
      </c>
      <c r="B109" s="1">
        <v>15.238770456499998</v>
      </c>
      <c r="C109" s="1">
        <v>15.1853971974004</v>
      </c>
      <c r="D109" s="1">
        <v>14.910611008709099</v>
      </c>
      <c r="E109" s="1">
        <v>14.861522121538099</v>
      </c>
      <c r="F109" s="1">
        <v>15.151313532968199</v>
      </c>
      <c r="G109" s="1">
        <v>49.350311789560692</v>
      </c>
      <c r="H109" s="1">
        <v>240.70455642000562</v>
      </c>
      <c r="I109" s="1">
        <f t="shared" si="8"/>
        <v>15.206421945274068</v>
      </c>
      <c r="J109" s="1">
        <f>2.21069775754495*(3.6/1.055)</f>
        <v>7.5436132011012527</v>
      </c>
      <c r="K109" s="1">
        <f>1.9121495506094*(3.6/1.055)</f>
        <v>6.5248705044491393</v>
      </c>
      <c r="L109" s="1">
        <f>2.49306121172801*(3.6/1.055)</f>
        <v>8.5071283054225777</v>
      </c>
      <c r="M109" s="1">
        <f>2.9574622717314*(3.6/1.055)</f>
        <v>10.09181438695075</v>
      </c>
      <c r="N109" s="1">
        <f>3.02399334732506*(3.6/1.055)</f>
        <v>10.318839858170819</v>
      </c>
      <c r="O109" s="1">
        <f>2.54989499788299*(3.6/1.055)</f>
        <v>8.7010634998850964</v>
      </c>
    </row>
    <row r="110" spans="1:15" x14ac:dyDescent="0.45">
      <c r="A110" t="s">
        <v>359</v>
      </c>
      <c r="B110" s="1">
        <v>15.238770456499998</v>
      </c>
      <c r="C110" s="1">
        <v>15.1853971974004</v>
      </c>
      <c r="D110" s="1">
        <v>14.9106110087091</v>
      </c>
      <c r="E110" s="1">
        <v>14.861522121538098</v>
      </c>
      <c r="F110" s="1">
        <v>15.151313532968201</v>
      </c>
      <c r="G110" s="1">
        <v>47.679619028622959</v>
      </c>
      <c r="H110" s="1">
        <v>143.70352571313686</v>
      </c>
      <c r="I110" s="1">
        <f>4.45632643118449*(3.6/1.055)</f>
        <v>15.206421945274073</v>
      </c>
      <c r="J110" s="1">
        <f>2.21013617024358*(3.6/1.055)</f>
        <v>7.5416968842434882</v>
      </c>
      <c r="K110" s="1">
        <f>1.91334815615714*(3.6/1.055)</f>
        <v>6.5289605328584726</v>
      </c>
      <c r="L110" s="1">
        <f>2.49227411347819*(3.6/1.055)</f>
        <v>8.5044424725322116</v>
      </c>
      <c r="M110" s="1">
        <f>2.95920872536428*(3.6/1.055)</f>
        <v>10.097773849584264</v>
      </c>
      <c r="N110" s="1">
        <f>2.90858105674027*(3.6/1.055)</f>
        <v>9.9250159282132362</v>
      </c>
      <c r="O110" s="1">
        <f>2.32347882058144*(3.6/1.055)</f>
        <v>7.9284585346854914</v>
      </c>
    </row>
    <row r="111" spans="1:15" x14ac:dyDescent="0.45">
      <c r="A111" t="s">
        <v>360</v>
      </c>
      <c r="B111" s="1">
        <v>15.238770456499996</v>
      </c>
      <c r="C111" s="1">
        <v>15.185397197400402</v>
      </c>
      <c r="D111" s="1">
        <v>14.910611008709102</v>
      </c>
      <c r="E111" s="1">
        <v>14.861522121538098</v>
      </c>
      <c r="F111" s="1">
        <v>15.151313532968198</v>
      </c>
      <c r="G111" s="1">
        <v>22.727469110395099</v>
      </c>
      <c r="H111" s="1">
        <v>61.492379414313596</v>
      </c>
      <c r="I111" s="1">
        <f>4.45632643118448*(3.6/1.055)</f>
        <v>15.206421945274061</v>
      </c>
      <c r="J111" s="1">
        <f>2.20849536871537*(3.6/1.055)</f>
        <v>7.5360979406401345</v>
      </c>
      <c r="K111" s="1">
        <f>1.92840242291939*(3.6/1.055)</f>
        <v>6.5803305426633338</v>
      </c>
      <c r="L111" s="1">
        <f>2.35289877285388*(3.6/1.055)</f>
        <v>8.0288488931506876</v>
      </c>
      <c r="M111" s="1">
        <f>2.4958818464509*(3.6/1.055)</f>
        <v>8.5167532201168044</v>
      </c>
      <c r="N111" s="1">
        <f>2.45604511005635*(3.6/1.055)</f>
        <v>8.3808174371591111</v>
      </c>
      <c r="O111" s="1">
        <f>2.43720394410037*(3.6/1.055)</f>
        <v>8.3165253068827791</v>
      </c>
    </row>
    <row r="112" spans="1:15" x14ac:dyDescent="0.45">
      <c r="A112" t="s">
        <v>361</v>
      </c>
      <c r="B112" s="1">
        <v>15.238770456499999</v>
      </c>
      <c r="C112" s="1">
        <v>15.1853971974004</v>
      </c>
      <c r="D112" s="1">
        <v>14.910611008709102</v>
      </c>
      <c r="E112" s="1">
        <v>14.861522121538098</v>
      </c>
      <c r="F112" s="1">
        <v>15.151313532968198</v>
      </c>
      <c r="G112" s="1">
        <v>22.727469110395099</v>
      </c>
      <c r="H112" s="1">
        <v>61.492379414313596</v>
      </c>
      <c r="I112" s="1">
        <f>4.45632643118448*(3.6/1.055)</f>
        <v>15.206421945274068</v>
      </c>
      <c r="J112" s="1">
        <f>2.20849536870514*(3.6/1.055)</f>
        <v>7.5360979406052202</v>
      </c>
      <c r="K112" s="1">
        <f>1.92840242276186*(3.6/1.055)</f>
        <v>6.5803305421257905</v>
      </c>
      <c r="L112" s="1">
        <f>2.35289877151331*(3.6/1.055)</f>
        <v>8.0288488885762259</v>
      </c>
      <c r="M112" s="1">
        <f>2.49588184651838*(3.6/1.055)</f>
        <v>8.5167532203470913</v>
      </c>
      <c r="N112" s="1">
        <f>2.45604510942396*(3.6/1.055)</f>
        <v>8.3808174350011981</v>
      </c>
      <c r="O112" s="1">
        <f>2.43720394394865*(3.6/1.055)</f>
        <v>8.3165253063650777</v>
      </c>
    </row>
    <row r="113" spans="1:15" x14ac:dyDescent="0.45">
      <c r="A113" t="s">
        <v>362</v>
      </c>
      <c r="B113" s="1">
        <v>15.238770456499998</v>
      </c>
      <c r="C113" s="1">
        <v>15.185397197400397</v>
      </c>
      <c r="D113" s="1">
        <v>14.910611008709102</v>
      </c>
      <c r="E113" s="1">
        <v>14.861522121538098</v>
      </c>
      <c r="F113" s="1">
        <v>15.151313532968199</v>
      </c>
      <c r="G113" s="1">
        <v>22.727469110395102</v>
      </c>
      <c r="H113" s="1">
        <v>61.492379414313596</v>
      </c>
      <c r="I113" s="1">
        <f>4.45632643118449*(3.6/1.055)</f>
        <v>15.206421945274073</v>
      </c>
      <c r="J113" s="1">
        <f>2.20849536866788*(3.6/1.055)</f>
        <v>7.5360979404780739</v>
      </c>
      <c r="K113" s="1">
        <f>1.92840242288404*(3.6/1.055)</f>
        <v>6.580330542542681</v>
      </c>
      <c r="L113" s="1">
        <f>2.35289877088541*(3.6/1.055)</f>
        <v>8.0288488864336252</v>
      </c>
      <c r="M113" s="1">
        <f>2.49588184525253*(3.6/1.055)</f>
        <v>8.516753216027583</v>
      </c>
      <c r="N113" s="1">
        <f>2.45604510836955*(3.6/1.055)</f>
        <v>8.3808174314032051</v>
      </c>
      <c r="O113" s="1">
        <f>2.43720394355468*(3.6/1.055)</f>
        <v>8.3165253050207006</v>
      </c>
    </row>
    <row r="114" spans="1:15" x14ac:dyDescent="0.45">
      <c r="A114" t="s">
        <v>363</v>
      </c>
      <c r="B114" s="1">
        <v>15.238770456499998</v>
      </c>
      <c r="C114" s="1">
        <v>15.1853971974004</v>
      </c>
      <c r="D114" s="1">
        <v>14.910611008709099</v>
      </c>
      <c r="E114" s="1">
        <v>14.861522121538098</v>
      </c>
      <c r="F114" s="1">
        <v>15.151313532968199</v>
      </c>
      <c r="G114" s="1">
        <v>22.727469110395102</v>
      </c>
      <c r="H114" s="1">
        <v>61.492379414313596</v>
      </c>
      <c r="I114" s="1">
        <f t="shared" ref="I114:I123" si="9">4.45632643118448*(3.6/1.055)</f>
        <v>15.206421945274068</v>
      </c>
      <c r="J114" s="1">
        <f>2.20849462052233*(3.6/1.055)</f>
        <v>7.5360953875643348</v>
      </c>
      <c r="K114" s="1">
        <f>1.92837603654153*(3.6/1.055)</f>
        <v>6.580240503838386</v>
      </c>
      <c r="L114" s="1">
        <f>2.3522065255508*(3.6/1.055)</f>
        <v>8.0264867222586407</v>
      </c>
      <c r="M114" s="1">
        <f>2.49594966136338*(3.6/1.055)</f>
        <v>8.5169846264532421</v>
      </c>
      <c r="N114" s="1">
        <f>2.45598665568772*(3.6/1.055)</f>
        <v>8.3806179720149636</v>
      </c>
      <c r="O114" s="1">
        <f>2.4371254611956*(3.6/1.055)</f>
        <v>8.3162574979186488</v>
      </c>
    </row>
    <row r="115" spans="1:15" x14ac:dyDescent="0.45">
      <c r="A115" t="s">
        <v>364</v>
      </c>
      <c r="B115" s="1">
        <v>15.238770456499999</v>
      </c>
      <c r="C115" s="1">
        <v>15.1853971974004</v>
      </c>
      <c r="D115" s="1">
        <v>14.910611008709102</v>
      </c>
      <c r="E115" s="1">
        <v>14.861522121538098</v>
      </c>
      <c r="F115" s="1">
        <v>15.151313532968201</v>
      </c>
      <c r="G115" s="1">
        <v>22.727469110395099</v>
      </c>
      <c r="H115" s="1">
        <v>61.492379414313596</v>
      </c>
      <c r="I115" s="1">
        <f t="shared" si="9"/>
        <v>15.206421945274055</v>
      </c>
      <c r="J115" s="1">
        <f>2.20849462038975*(3.6/1.055)</f>
        <v>7.5360953871119332</v>
      </c>
      <c r="K115" s="1">
        <f>1.92837603681875*(3.6/1.055)</f>
        <v>6.5802405047843484</v>
      </c>
      <c r="L115" s="1">
        <f>2.35220652623138*(3.6/1.055)</f>
        <v>8.0264867245809963</v>
      </c>
      <c r="M115" s="1">
        <f>2.4959496645453*(3.6/1.055)</f>
        <v>8.5169846373109674</v>
      </c>
      <c r="N115" s="1">
        <f>2.45598665447894*(3.6/1.055)</f>
        <v>8.3806179678902062</v>
      </c>
      <c r="O115" s="1">
        <f>2.43712546135182*(3.6/1.055)</f>
        <v>8.3162574984517015</v>
      </c>
    </row>
    <row r="116" spans="1:15" x14ac:dyDescent="0.45">
      <c r="A116" t="s">
        <v>365</v>
      </c>
      <c r="B116" s="1">
        <v>15.238770456499999</v>
      </c>
      <c r="C116" s="1">
        <v>15.185397197400398</v>
      </c>
      <c r="D116" s="1">
        <v>14.910611008709097</v>
      </c>
      <c r="E116" s="1">
        <v>14.861522121538099</v>
      </c>
      <c r="F116" s="1">
        <v>15.151313532968203</v>
      </c>
      <c r="G116" s="1">
        <v>22.727469110395102</v>
      </c>
      <c r="H116" s="1">
        <v>61.492379414313589</v>
      </c>
      <c r="I116" s="1">
        <f t="shared" si="9"/>
        <v>15.206421945274068</v>
      </c>
      <c r="J116" s="1">
        <f>2.2084946205521*(3.6/1.055)</f>
        <v>7.5360953876659362</v>
      </c>
      <c r="K116" s="1">
        <f>1.92837603665644*(3.6/1.055)</f>
        <v>6.5802405042305141</v>
      </c>
      <c r="L116" s="1">
        <f>2.35220652587306*(3.6/1.055)</f>
        <v>8.0264867233583121</v>
      </c>
      <c r="M116" s="1">
        <f>2.49594966330066*(3.6/1.055)</f>
        <v>8.5169846330638759</v>
      </c>
      <c r="N116" s="1">
        <f>2.45598665589251*(3.6/1.055)</f>
        <v>8.3806179727137931</v>
      </c>
      <c r="O116" s="1">
        <f>2.43712545999357*(3.6/1.055)</f>
        <v>8.3162574938169058</v>
      </c>
    </row>
    <row r="117" spans="1:15" x14ac:dyDescent="0.45">
      <c r="A117" t="s">
        <v>366</v>
      </c>
      <c r="B117" s="1">
        <v>15.238770456499996</v>
      </c>
      <c r="C117" s="1">
        <v>15.1853971974004</v>
      </c>
      <c r="D117" s="1">
        <v>14.910611008709099</v>
      </c>
      <c r="E117" s="1">
        <v>14.861522121538101</v>
      </c>
      <c r="F117" s="1">
        <v>15.151313532968199</v>
      </c>
      <c r="G117" s="1">
        <v>22.727469110395099</v>
      </c>
      <c r="H117" s="1">
        <v>61.492379414313604</v>
      </c>
      <c r="I117" s="1">
        <f t="shared" si="9"/>
        <v>15.206421945274061</v>
      </c>
      <c r="J117" s="1">
        <f>2.20862889608949*(3.6/1.055)</f>
        <v>7.536553579073126</v>
      </c>
      <c r="K117" s="1">
        <f>1.92621188945908*(3.6/1.055)</f>
        <v>6.5728557365428362</v>
      </c>
      <c r="L117" s="1">
        <f>2.37220468948993*(3.6/1.055)</f>
        <v>8.0947269025248723</v>
      </c>
      <c r="M117" s="1">
        <f>2.51159783290513*(3.6/1.055)</f>
        <v>8.5703812307663192</v>
      </c>
      <c r="N117" s="1">
        <f>2.45233608652118*(3.6/1.055)</f>
        <v>8.3681610535319937</v>
      </c>
      <c r="O117" s="1">
        <f>2.43079736800907*(3.6/1.055)</f>
        <v>8.2946640045807207</v>
      </c>
    </row>
    <row r="118" spans="1:15" x14ac:dyDescent="0.45">
      <c r="A118" t="s">
        <v>367</v>
      </c>
      <c r="B118" s="1">
        <v>15.238770456499999</v>
      </c>
      <c r="C118" s="1">
        <v>15.185397197400398</v>
      </c>
      <c r="D118" s="1">
        <v>14.9106110087091</v>
      </c>
      <c r="E118" s="1">
        <v>14.861522121538099</v>
      </c>
      <c r="F118" s="1">
        <v>15.151313532968201</v>
      </c>
      <c r="G118" s="1">
        <v>22.727469110395102</v>
      </c>
      <c r="H118" s="1">
        <v>61.492379414313589</v>
      </c>
      <c r="I118" s="1">
        <f t="shared" si="9"/>
        <v>15.206421945274061</v>
      </c>
      <c r="J118" s="1">
        <f>2.20862889624961*(3.6/1.055)</f>
        <v>7.5365535796195067</v>
      </c>
      <c r="K118" s="1">
        <f>1.92621188875733*(3.6/1.055)</f>
        <v>6.5728557341482245</v>
      </c>
      <c r="L118" s="1">
        <f>2.37220468831493*(3.6/1.055)</f>
        <v>8.0947268985153897</v>
      </c>
      <c r="M118" s="1">
        <f>2.51159782683539*(3.6/1.055)</f>
        <v>8.5703812100544035</v>
      </c>
      <c r="N118" s="1">
        <f>2.45233608696393*(3.6/1.055)</f>
        <v>8.3681610550427781</v>
      </c>
      <c r="O118" s="1">
        <f>2.43079736156857*(3.6/1.055)</f>
        <v>8.2946639826036481</v>
      </c>
    </row>
    <row r="119" spans="1:15" x14ac:dyDescent="0.45">
      <c r="A119" t="s">
        <v>368</v>
      </c>
      <c r="B119" s="1">
        <v>15.238770456499996</v>
      </c>
      <c r="C119" s="1">
        <v>15.185397197400402</v>
      </c>
      <c r="D119" s="1">
        <v>14.910611008709099</v>
      </c>
      <c r="E119" s="1">
        <v>14.861522121538098</v>
      </c>
      <c r="F119" s="1">
        <v>15.151313532968199</v>
      </c>
      <c r="G119" s="1">
        <v>22.727469110395095</v>
      </c>
      <c r="H119" s="1">
        <v>61.492379414313589</v>
      </c>
      <c r="I119" s="1">
        <f t="shared" si="9"/>
        <v>15.206421945274068</v>
      </c>
      <c r="J119" s="1">
        <f>2.2086288961015*(3.6/1.055)</f>
        <v>7.5365535791141252</v>
      </c>
      <c r="K119" s="1">
        <f>1.92621188943421*(3.6/1.055)</f>
        <v>6.5728557364579592</v>
      </c>
      <c r="L119" s="1">
        <f>2.37220468937742*(3.6/1.055)</f>
        <v>8.0947269021409536</v>
      </c>
      <c r="M119" s="1">
        <f>2.51159783289738*(3.6/1.055)</f>
        <v>8.5703812307398639</v>
      </c>
      <c r="N119" s="1">
        <f>2.45233608765813*(3.6/1.055)</f>
        <v>8.3681610574116263</v>
      </c>
      <c r="O119" s="1">
        <f>2.43079736775371*(3.6/1.055)</f>
        <v>8.2946640037093591</v>
      </c>
    </row>
    <row r="120" spans="1:15" x14ac:dyDescent="0.45">
      <c r="A120" t="s">
        <v>369</v>
      </c>
      <c r="B120" s="1">
        <v>15.238770456499999</v>
      </c>
      <c r="C120" s="1">
        <v>15.1853971974004</v>
      </c>
      <c r="D120" s="1">
        <v>14.9106110087091</v>
      </c>
      <c r="E120" s="1">
        <v>13.686323194308519</v>
      </c>
      <c r="F120" s="1">
        <v>22.970121410535089</v>
      </c>
      <c r="G120" s="1">
        <v>5.971560924791409</v>
      </c>
      <c r="H120" s="1">
        <v>123.51456775542361</v>
      </c>
      <c r="I120" s="1">
        <f t="shared" si="9"/>
        <v>15.206421945274061</v>
      </c>
      <c r="J120" s="1">
        <f>2.20852712846293*(3.6/1.055)</f>
        <v>7.5362063151341818</v>
      </c>
      <c r="K120" s="1">
        <f>1.9150261657681*(3.6/1.055)</f>
        <v>6.534686442431445</v>
      </c>
      <c r="L120" s="1">
        <f>2.33427579826087*(3.6/1.055)</f>
        <v>7.9653013021224082</v>
      </c>
      <c r="M120" s="1">
        <f>2.46207726157587*(3.6/1.055)</f>
        <v>8.4014010821546208</v>
      </c>
      <c r="N120" s="1">
        <f>2.40104547555622*(3.6/1.055)</f>
        <v>8.1931409592439657</v>
      </c>
      <c r="O120" s="1">
        <f>2.38801251305844*(3.6/1.055)</f>
        <v>8.1486682910050892</v>
      </c>
    </row>
    <row r="121" spans="1:15" x14ac:dyDescent="0.45">
      <c r="A121" t="s">
        <v>370</v>
      </c>
      <c r="B121" s="1">
        <v>15.238770456499999</v>
      </c>
      <c r="C121" s="1">
        <v>15.1853971974004</v>
      </c>
      <c r="D121" s="1">
        <v>14.9106110087091</v>
      </c>
      <c r="E121" s="1">
        <v>13.686323190516919</v>
      </c>
      <c r="F121" s="1">
        <v>22.970121409008474</v>
      </c>
      <c r="G121" s="1">
        <v>5.9715609943288994</v>
      </c>
      <c r="H121" s="1">
        <v>123.51456775394067</v>
      </c>
      <c r="I121" s="1">
        <f t="shared" si="9"/>
        <v>15.206421945274061</v>
      </c>
      <c r="J121" s="1">
        <f>2.20852712865689*(3.6/1.055)</f>
        <v>7.5362063157960097</v>
      </c>
      <c r="K121" s="1">
        <f>1.9150261653296*(3.6/1.055)</f>
        <v>6.5346864409351237</v>
      </c>
      <c r="L121" s="1">
        <f>2.33427579830763*(3.6/1.055)</f>
        <v>7.9653013022819756</v>
      </c>
      <c r="M121" s="1">
        <f>2.46207726045345*(3.6/1.055)</f>
        <v>8.4014010783245539</v>
      </c>
      <c r="N121" s="1">
        <f>2.40104547354024*(3.6/1.055)</f>
        <v>8.1931409523648142</v>
      </c>
      <c r="O121" s="1">
        <f>2.38801251385972*(3.6/1.055)</f>
        <v>8.1486682937393446</v>
      </c>
    </row>
    <row r="122" spans="1:15" x14ac:dyDescent="0.45">
      <c r="A122" t="s">
        <v>371</v>
      </c>
      <c r="B122" s="1">
        <v>15.238770456499996</v>
      </c>
      <c r="C122" s="1">
        <v>15.185397197400398</v>
      </c>
      <c r="D122" s="1">
        <v>14.9106110087091</v>
      </c>
      <c r="E122" s="1">
        <v>13.671074690955006</v>
      </c>
      <c r="F122" s="1">
        <v>22.767984085573421</v>
      </c>
      <c r="G122" s="1">
        <v>7.5783043187007957</v>
      </c>
      <c r="H122" s="1">
        <v>93.644921689355954</v>
      </c>
      <c r="I122" s="1">
        <f t="shared" si="9"/>
        <v>15.206421945274059</v>
      </c>
      <c r="J122" s="1">
        <f>2.2085418668428*(3.6/1.055)</f>
        <v>7.5362566072360879</v>
      </c>
      <c r="K122" s="1">
        <f>1.91500202814022*(3.6/1.055)</f>
        <v>6.5346040770661489</v>
      </c>
      <c r="L122" s="1">
        <f>2.33447496571613*(3.6/1.055)</f>
        <v>7.9659809256664316</v>
      </c>
      <c r="M122" s="1">
        <f>2.46185114992695*(3.6/1.055)</f>
        <v>8.4006295163384195</v>
      </c>
      <c r="N122" s="1">
        <f>2.41005659376863*(3.6/1.055)</f>
        <v>8.22388979864178</v>
      </c>
      <c r="O122" s="1">
        <f>2.35439767359828*(3.6/1.055)</f>
        <v>8.0339636255486475</v>
      </c>
    </row>
    <row r="123" spans="1:15" x14ac:dyDescent="0.45">
      <c r="A123" t="s">
        <v>372</v>
      </c>
      <c r="B123" s="1">
        <v>15.238770456499996</v>
      </c>
      <c r="C123" s="1">
        <v>15.1853971974004</v>
      </c>
      <c r="D123" s="1">
        <v>14.9106110087091</v>
      </c>
      <c r="E123" s="1">
        <v>12.500657102596193</v>
      </c>
      <c r="F123" s="1">
        <v>16.309906272229131</v>
      </c>
      <c r="G123" s="1">
        <v>0.44383051144057939</v>
      </c>
      <c r="H123" s="1">
        <v>98.872846023228021</v>
      </c>
      <c r="I123" s="1">
        <f t="shared" si="9"/>
        <v>15.206421945274059</v>
      </c>
      <c r="J123" s="1">
        <f>2.20838012795246*(3.6/1.055)</f>
        <v>7.5357047020178616</v>
      </c>
      <c r="K123" s="1">
        <f>1.91361765696975*(3.6/1.055)</f>
        <v>6.5298801564844595</v>
      </c>
      <c r="L123" s="1">
        <f>2.33311994824804*(3.6/1.055)</f>
        <v>7.9613571693771936</v>
      </c>
      <c r="M123" s="1">
        <f>2.47845168988233*(3.6/1.055)</f>
        <v>8.4572759086032132</v>
      </c>
      <c r="N123" s="1">
        <f>2.42020960663748*(3.6/1.055)</f>
        <v>8.2585351506112925</v>
      </c>
      <c r="O123" s="1">
        <f>2.37513145332793*(3.6/1.055)</f>
        <v>8.1047139639626096</v>
      </c>
    </row>
    <row r="124" spans="1:15" x14ac:dyDescent="0.45">
      <c r="A124" t="s">
        <v>373</v>
      </c>
      <c r="B124" s="1">
        <v>15.238770456499996</v>
      </c>
      <c r="C124" s="1">
        <v>15.185397197400402</v>
      </c>
      <c r="D124" s="1">
        <v>14.910611008709099</v>
      </c>
      <c r="E124" s="1">
        <v>12.500657101727672</v>
      </c>
      <c r="F124" s="1">
        <v>16.309906271766856</v>
      </c>
      <c r="G124" s="1">
        <v>0.44383050930946494</v>
      </c>
      <c r="H124" s="1">
        <v>98.872846029777719</v>
      </c>
      <c r="I124" s="1">
        <f>4.45632643118449*(3.6/1.055)</f>
        <v>15.206421945274073</v>
      </c>
      <c r="J124" s="1">
        <f>2.20838012799953*(3.6/1.055)</f>
        <v>7.5357047021785011</v>
      </c>
      <c r="K124" s="1">
        <f>1.91361765684722*(3.6/1.055)</f>
        <v>6.5298801560663575</v>
      </c>
      <c r="L124" s="1">
        <f>2.33311994765595*(3.6/1.055)</f>
        <v>7.9613571673568133</v>
      </c>
      <c r="M124" s="1">
        <f>2.47845168976695*(3.6/1.055)</f>
        <v>8.4572759082095086</v>
      </c>
      <c r="N124" s="1">
        <f>2.42020960634151*(3.6/1.055)</f>
        <v>8.2585351496013715</v>
      </c>
      <c r="O124" s="1">
        <f>2.37513145344735*(3.6/1.055)</f>
        <v>8.1047139643701005</v>
      </c>
    </row>
    <row r="125" spans="1:15" x14ac:dyDescent="0.45">
      <c r="A125" t="s">
        <v>374</v>
      </c>
      <c r="B125" s="1">
        <v>15.238770456499998</v>
      </c>
      <c r="C125" s="1">
        <v>15.1853971974004</v>
      </c>
      <c r="D125" s="1">
        <v>14.9106110087091</v>
      </c>
      <c r="E125" s="1">
        <v>12.644238612039064</v>
      </c>
      <c r="F125" s="1">
        <v>18.08563127698902</v>
      </c>
      <c r="G125" s="1">
        <v>2.5386699147576519</v>
      </c>
      <c r="H125" s="1">
        <v>87.157512539532021</v>
      </c>
      <c r="I125" s="1">
        <f>4.45632643118448*(3.6/1.055)</f>
        <v>15.206421945274071</v>
      </c>
      <c r="J125" s="1">
        <f>2.20843136482541*(3.6/1.055)</f>
        <v>7.53587953874072</v>
      </c>
      <c r="K125" s="1">
        <f>1.91401125631155*(3.6/1.055)</f>
        <v>6.5312232442858722</v>
      </c>
      <c r="L125" s="1">
        <f>2.33319364850378*(3.6/1.055)</f>
        <v>7.9616086584015173</v>
      </c>
      <c r="M125" s="1">
        <f>2.4590949233505*(3.6/1.055)</f>
        <v>8.3912243829969579</v>
      </c>
      <c r="N125" s="1">
        <f>2.40166771705397*(3.6/1.055)</f>
        <v>8.1952642477670921</v>
      </c>
      <c r="O125" s="1">
        <f>2.37140056539607*(3.6/1.055)</f>
        <v>8.0919829719676333</v>
      </c>
    </row>
    <row r="126" spans="1:15" x14ac:dyDescent="0.45">
      <c r="A126" t="s">
        <v>375</v>
      </c>
      <c r="B126" s="1">
        <v>15.238770456499996</v>
      </c>
      <c r="C126" s="1">
        <v>15.185397197400398</v>
      </c>
      <c r="D126" s="1">
        <v>14.910611008709099</v>
      </c>
      <c r="E126" s="1">
        <v>10.497839435004684</v>
      </c>
      <c r="F126" s="1">
        <v>2.6116387881254166</v>
      </c>
      <c r="G126" s="1">
        <v>22.727469110395099</v>
      </c>
      <c r="H126" s="1">
        <v>72.268423433379297</v>
      </c>
      <c r="I126" s="1">
        <f>4.45632643118448*(3.6/1.055)</f>
        <v>15.206421945274064</v>
      </c>
      <c r="J126" s="1">
        <f>2.20846280863561*(3.6/1.055)</f>
        <v>7.5359868351546835</v>
      </c>
      <c r="K126" s="1">
        <f>1.91286319275803*(3.6/1.055)</f>
        <v>6.5273056814492145</v>
      </c>
      <c r="L126" s="1">
        <f>2.35397942599421*(3.6/1.055)</f>
        <v>8.0325364299328541</v>
      </c>
      <c r="M126" s="1">
        <f>2.50684676327961*(3.6/1.055)</f>
        <v>8.5541690500536571</v>
      </c>
      <c r="N126" s="1">
        <f>2.46047738781494*(3.6/1.055)</f>
        <v>8.3959417972832107</v>
      </c>
      <c r="O126" s="1">
        <f>2.37549088434995*(3.6/1.055)</f>
        <v>8.105940458445323</v>
      </c>
    </row>
    <row r="127" spans="1:15" x14ac:dyDescent="0.45">
      <c r="A127" t="s">
        <v>376</v>
      </c>
      <c r="B127" s="1">
        <v>15.238770456499996</v>
      </c>
      <c r="C127" s="1">
        <v>15.1853971974004</v>
      </c>
      <c r="D127" s="1">
        <v>14.910611008709099</v>
      </c>
      <c r="E127" s="1">
        <v>10.497839443073984</v>
      </c>
      <c r="F127" s="1">
        <v>2.6116387843748443</v>
      </c>
      <c r="G127" s="1">
        <v>22.727469110395095</v>
      </c>
      <c r="H127" s="1">
        <v>72.268423433699326</v>
      </c>
      <c r="I127" s="1">
        <f>4.45632643118448*(3.6/1.055)</f>
        <v>15.206421945274068</v>
      </c>
      <c r="J127" s="1">
        <f>2.20846280894882*(3.6/1.055)</f>
        <v>7.5359868362234748</v>
      </c>
      <c r="K127" s="1">
        <f>1.91286319395401*(3.6/1.055)</f>
        <v>6.5273056855302656</v>
      </c>
      <c r="L127" s="1">
        <f>2.35397942618407*(3.6/1.055)</f>
        <v>8.032536430580727</v>
      </c>
      <c r="M127" s="1">
        <f>2.50684676208256*(3.6/1.055)</f>
        <v>8.5541690459689175</v>
      </c>
      <c r="N127" s="1">
        <f>2.46047739153359*(3.6/1.055)</f>
        <v>8.3959418099724559</v>
      </c>
      <c r="O127" s="1">
        <f>2.37549087674*(3.6/1.055)</f>
        <v>8.105940432477718</v>
      </c>
    </row>
    <row r="128" spans="1:15" x14ac:dyDescent="0.45">
      <c r="A128" t="s">
        <v>377</v>
      </c>
      <c r="B128" s="1">
        <v>15.238770456499999</v>
      </c>
      <c r="C128" s="1">
        <v>15.1853971974004</v>
      </c>
      <c r="D128" s="1">
        <v>14.9106110087091</v>
      </c>
      <c r="E128" s="1">
        <v>10.480957609669733</v>
      </c>
      <c r="F128" s="1">
        <v>2.9712359052493849</v>
      </c>
      <c r="G128" s="1">
        <v>22.727469110395102</v>
      </c>
      <c r="H128" s="1">
        <v>71.855755800744475</v>
      </c>
      <c r="I128" s="1">
        <f>4.45632643118448*(3.6/1.055)</f>
        <v>15.206421945274061</v>
      </c>
      <c r="J128" s="1">
        <f>2.20848412980468*(3.6/1.055)</f>
        <v>7.5360595898548457</v>
      </c>
      <c r="K128" s="1">
        <f>1.91286382890368*(3.6/1.055)</f>
        <v>6.5273078521831742</v>
      </c>
      <c r="L128" s="1">
        <f>2.35397288291766*(3.6/1.055)</f>
        <v>8.0325141028469851</v>
      </c>
      <c r="M128" s="1">
        <f>2.50734327069145*(3.6/1.055)</f>
        <v>8.5558632933547099</v>
      </c>
      <c r="N128" s="1">
        <f>2.46120796609462*(3.6/1.055)</f>
        <v>8.3984347658205127</v>
      </c>
      <c r="O128" s="1">
        <f>2.37560564343227*(3.6/1.055)</f>
        <v>8.1063320534181837</v>
      </c>
    </row>
    <row r="129" spans="1:15" x14ac:dyDescent="0.45">
      <c r="A129" t="s">
        <v>378</v>
      </c>
      <c r="B129" s="1">
        <v>15.238770456499996</v>
      </c>
      <c r="C129" s="1">
        <v>15.1853971974004</v>
      </c>
      <c r="D129" s="1">
        <v>14.9106110087091</v>
      </c>
      <c r="E129" s="1">
        <v>14.861522121538101</v>
      </c>
      <c r="F129" s="1">
        <v>15.151313532968199</v>
      </c>
      <c r="G129" s="1">
        <v>22.727469110395102</v>
      </c>
      <c r="H129" s="1">
        <v>61.492379414313604</v>
      </c>
      <c r="I129" s="1">
        <f>4.45632643118448*(3.6/1.055)</f>
        <v>15.206421945274059</v>
      </c>
      <c r="J129" s="1">
        <f>2.20962725173228*(3.6/1.055)</f>
        <v>7.5399602902712726</v>
      </c>
      <c r="K129" s="1">
        <f>1.94196163512237*(3.6/1.055)</f>
        <v>6.6265989444933826</v>
      </c>
      <c r="L129" s="1">
        <f>2.44248175302869*(3.6/1.055)</f>
        <v>8.3345348918514368</v>
      </c>
      <c r="M129" s="1">
        <f>2.84062296996819*(3.6/1.055)</f>
        <v>9.6931210349625569</v>
      </c>
      <c r="N129" s="1">
        <f>2.86762165424217*(3.6/1.055)</f>
        <v>9.7852492467031453</v>
      </c>
      <c r="O129" s="1">
        <f>2.80017810082801*(3.6/1.055)</f>
        <v>9.5551101070908295</v>
      </c>
    </row>
    <row r="130" spans="1:15" x14ac:dyDescent="0.45">
      <c r="A130" t="s">
        <v>379</v>
      </c>
      <c r="B130" s="1">
        <v>15.238770456499999</v>
      </c>
      <c r="C130" s="1">
        <v>15.185397197400398</v>
      </c>
      <c r="D130" s="1">
        <v>14.9106110087091</v>
      </c>
      <c r="E130" s="1">
        <v>14.861522121538098</v>
      </c>
      <c r="F130" s="1">
        <v>15.151313532968201</v>
      </c>
      <c r="G130" s="1">
        <v>22.727469110395091</v>
      </c>
      <c r="H130" s="1">
        <v>61.492379414313604</v>
      </c>
      <c r="I130" s="1">
        <f>4.45632643118449*(3.6/1.055)</f>
        <v>15.206421945274085</v>
      </c>
      <c r="J130" s="1">
        <f>2.20962725181108*(3.6/1.055)</f>
        <v>7.5399602905401792</v>
      </c>
      <c r="K130" s="1">
        <f>1.94196163514829*(3.6/1.055)</f>
        <v>6.6265989445818407</v>
      </c>
      <c r="L130" s="1">
        <f>2.44248175301472*(3.6/1.055)</f>
        <v>8.3345348918037825</v>
      </c>
      <c r="M130" s="1">
        <f>2.84062296994775*(3.6/1.055)</f>
        <v>9.6931210348928047</v>
      </c>
      <c r="N130" s="1">
        <f>2.86762165422774*(3.6/1.055)</f>
        <v>9.7852492466539012</v>
      </c>
      <c r="O130" s="1">
        <f>2.80017810084592*(3.6/1.055)</f>
        <v>9.5551101071519486</v>
      </c>
    </row>
    <row r="131" spans="1:15" x14ac:dyDescent="0.45">
      <c r="A131" t="s">
        <v>380</v>
      </c>
      <c r="B131" s="1">
        <v>15.238770456499996</v>
      </c>
      <c r="C131" s="1">
        <v>15.1853971974004</v>
      </c>
      <c r="D131" s="1">
        <v>14.910611008709099</v>
      </c>
      <c r="E131" s="1">
        <v>14.861522121538099</v>
      </c>
      <c r="F131" s="1">
        <v>15.151313532968203</v>
      </c>
      <c r="G131" s="1">
        <v>22.727469110395099</v>
      </c>
      <c r="H131" s="1">
        <v>61.492379414313596</v>
      </c>
      <c r="I131" s="1">
        <f>4.45632643118448*(3.6/1.055)</f>
        <v>15.206421945274064</v>
      </c>
      <c r="J131" s="1">
        <f>2.20965348789669*(3.6/1.055)</f>
        <v>7.5400498165195202</v>
      </c>
      <c r="K131" s="1">
        <f>1.9418539933372*(3.6/1.055)</f>
        <v>6.6262316360321671</v>
      </c>
      <c r="L131" s="1">
        <f>2.44267832942727*(3.6/1.055)</f>
        <v>8.3352056738750395</v>
      </c>
      <c r="M131" s="1">
        <f>2.84021575586268*(3.6/1.055)</f>
        <v>9.6917314891996593</v>
      </c>
      <c r="N131" s="1">
        <f>2.85998949881095*(3.6/1.055)</f>
        <v>9.7592058727198427</v>
      </c>
      <c r="O131" s="1">
        <f>2.76724940497917*(3.6/1.055)</f>
        <v>9.4427467847630524</v>
      </c>
    </row>
    <row r="132" spans="1:15" x14ac:dyDescent="0.45">
      <c r="A132" t="s">
        <v>381</v>
      </c>
      <c r="B132" s="1">
        <v>15.238770456499999</v>
      </c>
      <c r="C132" s="1">
        <v>15.185397197400397</v>
      </c>
      <c r="D132" s="1">
        <v>14.910611008709102</v>
      </c>
      <c r="E132" s="1">
        <v>14.861522121538101</v>
      </c>
      <c r="F132" s="1">
        <v>15.151313532968201</v>
      </c>
      <c r="G132" s="1">
        <v>22.727469110395102</v>
      </c>
      <c r="H132" s="1">
        <v>61.492379414313604</v>
      </c>
      <c r="I132" s="1">
        <f>4.45632643118448*(3.6/1.055)</f>
        <v>15.206421945274068</v>
      </c>
      <c r="J132" s="1">
        <f>2.20961793750216*(3.6/1.055)</f>
        <v>7.5399285071163744</v>
      </c>
      <c r="K132" s="1">
        <f>1.94193845794377*(3.6/1.055)</f>
        <v>6.6265198564905861</v>
      </c>
      <c r="L132" s="1">
        <f>2.44234266019443*(3.6/1.055)</f>
        <v>8.3340602622748268</v>
      </c>
      <c r="M132" s="1">
        <f>2.84062260493087*(3.6/1.055)</f>
        <v>9.6931197893375813</v>
      </c>
      <c r="N132" s="1">
        <f>2.86757614280511*(3.6/1.055)</f>
        <v>9.7850939470126974</v>
      </c>
      <c r="O132" s="1">
        <f>2.8040882439569*(3.6/1.055)</f>
        <v>9.5684527755875202</v>
      </c>
    </row>
    <row r="133" spans="1:15" x14ac:dyDescent="0.45">
      <c r="A133" t="s">
        <v>382</v>
      </c>
      <c r="B133" s="1">
        <v>15.238770456499996</v>
      </c>
      <c r="C133" s="1">
        <v>15.1853971974004</v>
      </c>
      <c r="D133" s="1">
        <v>14.9106110087091</v>
      </c>
      <c r="E133" s="1">
        <v>14.861522121538099</v>
      </c>
      <c r="F133" s="1">
        <v>15.151313532968199</v>
      </c>
      <c r="G133" s="1">
        <v>22.727469110395099</v>
      </c>
      <c r="H133" s="1">
        <v>61.492379414313589</v>
      </c>
      <c r="I133" s="1">
        <f>4.45632643118448*(3.6/1.055)</f>
        <v>15.206421945274071</v>
      </c>
      <c r="J133" s="1">
        <f>2.20961793750216*(3.6/1.055)</f>
        <v>7.5399285071163771</v>
      </c>
      <c r="K133" s="1">
        <f>1.94193845794377*(3.6/1.055)</f>
        <v>6.6265198564905887</v>
      </c>
      <c r="L133" s="1">
        <f>2.44234266019443*(3.6/1.055)</f>
        <v>8.3340602622748374</v>
      </c>
      <c r="M133" s="1">
        <f>2.84062260493088*(3.6/1.055)</f>
        <v>9.6931197893375849</v>
      </c>
      <c r="N133" s="1">
        <f>2.86757614280511*(3.6/1.055)</f>
        <v>9.7850939470126903</v>
      </c>
      <c r="O133" s="1">
        <f>2.80408824395691*(3.6/1.055)</f>
        <v>9.5684527755875539</v>
      </c>
    </row>
    <row r="134" spans="1:15" x14ac:dyDescent="0.45">
      <c r="A134" t="s">
        <v>383</v>
      </c>
      <c r="B134" s="1">
        <v>15.238770456499999</v>
      </c>
      <c r="C134" s="1">
        <v>15.1853971974004</v>
      </c>
      <c r="D134" s="1">
        <v>14.9106110087091</v>
      </c>
      <c r="E134" s="1">
        <v>14.861522121538098</v>
      </c>
      <c r="F134" s="1">
        <v>15.151313532968198</v>
      </c>
      <c r="G134" s="1">
        <v>22.727469110395102</v>
      </c>
      <c r="H134" s="1">
        <v>61.492379414313589</v>
      </c>
      <c r="I134" s="1">
        <f>4.45632643118449*(3.6/1.055)</f>
        <v>15.20642194527408</v>
      </c>
      <c r="J134" s="1">
        <f>2.20964779659765*(3.6/1.055)</f>
        <v>7.5400303959730106</v>
      </c>
      <c r="K134" s="1">
        <f>1.94179683842283*(3.6/1.055)</f>
        <v>6.6260366050447121</v>
      </c>
      <c r="L134" s="1">
        <f>2.44254710637563*(3.6/1.055)</f>
        <v>8.3347578985329633</v>
      </c>
      <c r="M134" s="1">
        <f>2.84020536338752*(3.6/1.055)</f>
        <v>9.6916960267252001</v>
      </c>
      <c r="N134" s="1">
        <f>2.86495507085806*(3.6/1.055)</f>
        <v>9.7761500048236964</v>
      </c>
      <c r="O134" s="1">
        <f>2.77279610625225*(3.6/1.055)</f>
        <v>9.4616739170692998</v>
      </c>
    </row>
    <row r="135" spans="1:15" x14ac:dyDescent="0.45">
      <c r="A135" t="s">
        <v>384</v>
      </c>
      <c r="B135" s="1">
        <v>15.238770456499999</v>
      </c>
      <c r="C135" s="1">
        <v>15.1853971974004</v>
      </c>
      <c r="D135" s="1">
        <v>14.910611008709102</v>
      </c>
      <c r="E135" s="1">
        <v>14.861522121538098</v>
      </c>
      <c r="F135" s="1">
        <v>15.151313532968201</v>
      </c>
      <c r="G135" s="1">
        <v>22.727469110395095</v>
      </c>
      <c r="H135" s="1">
        <v>61.492379414313604</v>
      </c>
      <c r="I135" s="1">
        <f>4.45632643118448*(3.6/1.055)</f>
        <v>15.206421945274059</v>
      </c>
      <c r="J135" s="1">
        <f>2.20946532821553*(3.6/1.055)</f>
        <v>7.5394077550482637</v>
      </c>
      <c r="K135" s="1">
        <f>1.92737068683219*(3.6/1.055)</f>
        <v>6.5768099266311708</v>
      </c>
      <c r="L135" s="1">
        <f>2.44267919576671*(3.6/1.055)</f>
        <v>8.3352086301044181</v>
      </c>
      <c r="M135" s="1">
        <f>2.90154758252314*(3.6/1.055)</f>
        <v>9.9010154474723144</v>
      </c>
      <c r="N135" s="1">
        <f>2.97031644898874*(3.6/1.055)</f>
        <v>10.13567698233124</v>
      </c>
      <c r="O135" s="1">
        <f>2.81215307219666*(3.6/1.055)</f>
        <v>9.5959725686331385</v>
      </c>
    </row>
    <row r="136" spans="1:15" x14ac:dyDescent="0.45">
      <c r="A136" t="s">
        <v>385</v>
      </c>
      <c r="B136" s="1">
        <v>15.238770456499998</v>
      </c>
      <c r="C136" s="1">
        <v>15.185397197400398</v>
      </c>
      <c r="D136" s="1">
        <v>14.910611008709097</v>
      </c>
      <c r="E136" s="1">
        <v>14.861522121538099</v>
      </c>
      <c r="F136" s="1">
        <v>15.151313532968199</v>
      </c>
      <c r="G136" s="1">
        <v>22.727469110395102</v>
      </c>
      <c r="H136" s="1">
        <v>61.492379414313596</v>
      </c>
      <c r="I136" s="1">
        <f>4.45632643118448*(3.6/1.055)</f>
        <v>15.206421945274071</v>
      </c>
      <c r="J136" s="1">
        <f>2.20946532823184*(3.6/1.055)</f>
        <v>7.5394077551039178</v>
      </c>
      <c r="K136" s="1">
        <f>1.92737068684398*(3.6/1.055)</f>
        <v>6.5768099266713911</v>
      </c>
      <c r="L136" s="1">
        <f>2.44267919576522*(3.6/1.055)</f>
        <v>8.3352086300993378</v>
      </c>
      <c r="M136" s="1">
        <f>2.90154758252393*(3.6/1.055)</f>
        <v>9.9010154474750305</v>
      </c>
      <c r="N136" s="1">
        <f>2.97031644899086*(3.6/1.055)</f>
        <v>10.135676982338474</v>
      </c>
      <c r="O136" s="1">
        <f>2.81215307220712*(3.6/1.055)</f>
        <v>9.5959725686688415</v>
      </c>
    </row>
    <row r="137" spans="1:15" x14ac:dyDescent="0.45">
      <c r="A137" t="s">
        <v>386</v>
      </c>
      <c r="B137" s="1">
        <v>15.238770456499998</v>
      </c>
      <c r="C137" s="1">
        <v>15.1853971974004</v>
      </c>
      <c r="D137" s="1">
        <v>14.910611008709102</v>
      </c>
      <c r="E137" s="1">
        <v>14.861522121538099</v>
      </c>
      <c r="F137" s="1">
        <v>15.151313532968201</v>
      </c>
      <c r="G137" s="1">
        <v>22.727469110395102</v>
      </c>
      <c r="H137" s="1">
        <v>61.492379414313611</v>
      </c>
      <c r="I137" s="1">
        <f>4.45632643118448*(3.6/1.055)</f>
        <v>15.206421945274071</v>
      </c>
      <c r="J137" s="1">
        <f>2.20947460893257*(3.6/1.055)</f>
        <v>7.5394394238457316</v>
      </c>
      <c r="K137" s="1">
        <f>1.92738364015948*(3.6/1.055)</f>
        <v>6.5768541275584065</v>
      </c>
      <c r="L137" s="1">
        <f>2.44273475579319*(3.6/1.055)</f>
        <v>8.3353982188203535</v>
      </c>
      <c r="M137" s="1">
        <f>2.90111296017861*(3.6/1.055)</f>
        <v>9.8995323759649203</v>
      </c>
      <c r="N137" s="1">
        <f>2.91356482225096*(3.6/1.055)</f>
        <v>9.9420221422781641</v>
      </c>
      <c r="O137" s="1">
        <f>2.79912775407305*(3.6/1.055)</f>
        <v>9.5515259854625505</v>
      </c>
    </row>
    <row r="138" spans="1:15" x14ac:dyDescent="0.45">
      <c r="A138" t="s">
        <v>387</v>
      </c>
      <c r="B138" s="1">
        <v>15.238770456499999</v>
      </c>
      <c r="C138" s="1">
        <v>15.1853971974004</v>
      </c>
      <c r="D138" s="1">
        <v>14.9106110087091</v>
      </c>
      <c r="E138" s="1">
        <v>13.029178964550535</v>
      </c>
      <c r="F138" s="1">
        <v>16.502839683365973</v>
      </c>
      <c r="G138" s="1">
        <v>58.932025181325294</v>
      </c>
      <c r="H138" s="1">
        <v>127.9796538404819</v>
      </c>
      <c r="I138" s="1">
        <f>4.45632643118449*(3.6/1.055)</f>
        <v>15.206421945274077</v>
      </c>
      <c r="J138" s="1">
        <f>2.20974009804174*(3.6/1.055)</f>
        <v>7.5403453582467073</v>
      </c>
      <c r="K138" s="1">
        <f>1.92869500816219*(3.6/1.055)</f>
        <v>6.5813289378046393</v>
      </c>
      <c r="L138" s="1">
        <f>2.44446819358824*(3.6/1.055)</f>
        <v>8.3413132672205244</v>
      </c>
      <c r="M138" s="1">
        <f>2.72470030415827*(3.6/1.055)</f>
        <v>9.2975555402556971</v>
      </c>
      <c r="N138" s="1">
        <f>2.65486927383776*(3.6/1.055)</f>
        <v>9.0592695600151085</v>
      </c>
      <c r="O138" s="1">
        <f>2.4106177538622*(3.6/1.055)</f>
        <v>8.2258046577288315</v>
      </c>
    </row>
    <row r="139" spans="1:15" x14ac:dyDescent="0.45">
      <c r="A139" t="s">
        <v>388</v>
      </c>
      <c r="B139" s="1">
        <v>15.238770456499999</v>
      </c>
      <c r="C139" s="1">
        <v>15.185397197400397</v>
      </c>
      <c r="D139" s="1">
        <v>14.910611008709099</v>
      </c>
      <c r="E139" s="1">
        <v>13.060386844179499</v>
      </c>
      <c r="F139" s="1">
        <v>16.542193781109038</v>
      </c>
      <c r="G139" s="1">
        <v>58.932721093805426</v>
      </c>
      <c r="H139" s="1">
        <v>128.86885888529153</v>
      </c>
      <c r="I139" s="1">
        <f t="shared" ref="I139:I145" si="10">4.45632643118448*(3.6/1.055)</f>
        <v>15.206421945274061</v>
      </c>
      <c r="J139" s="1">
        <f>2.20972156935929*(3.6/1.055)</f>
        <v>7.5402821324108551</v>
      </c>
      <c r="K139" s="1">
        <f>1.92868474007878*(3.6/1.055)</f>
        <v>6.5812938997948764</v>
      </c>
      <c r="L139" s="1">
        <f>2.4445133634817*(3.6/1.055)</f>
        <v>8.3414674014541319</v>
      </c>
      <c r="M139" s="1">
        <f>2.72474299571656*(3.6/1.055)</f>
        <v>9.2977012176110172</v>
      </c>
      <c r="N139" s="1">
        <f>2.65486226488652*(3.6/1.055)</f>
        <v>9.0592456432146555</v>
      </c>
      <c r="O139" s="1">
        <f>2.41069948458893*(3.6/1.055)</f>
        <v>8.2260835493081821</v>
      </c>
    </row>
    <row r="140" spans="1:15" x14ac:dyDescent="0.45">
      <c r="A140" t="s">
        <v>389</v>
      </c>
      <c r="B140" s="1">
        <v>15.238770456499998</v>
      </c>
      <c r="C140" s="1">
        <v>15.185397197400398</v>
      </c>
      <c r="D140" s="1">
        <v>14.910611008709102</v>
      </c>
      <c r="E140" s="1">
        <v>14.929384905284683</v>
      </c>
      <c r="F140" s="1">
        <v>20.429220868562648</v>
      </c>
      <c r="G140" s="1">
        <v>49.987358849144606</v>
      </c>
      <c r="H140" s="1">
        <v>128.85662648543234</v>
      </c>
      <c r="I140" s="1">
        <f t="shared" si="10"/>
        <v>15.206421945274064</v>
      </c>
      <c r="J140" s="1">
        <f>2.20955281432453*(3.6/1.055)</f>
        <v>7.5397062858467434</v>
      </c>
      <c r="K140" s="1">
        <f>1.94230651105593*(3.6/1.055)</f>
        <v>6.6277757723235391</v>
      </c>
      <c r="L140" s="1">
        <f>2.44586699499387*(3.6/1.055)</f>
        <v>8.3460864284151182</v>
      </c>
      <c r="M140" s="1">
        <f>2.66358750899828*(3.6/1.055)</f>
        <v>9.0890189880509933</v>
      </c>
      <c r="N140" s="1">
        <f>2.59204741744988*(3.6/1.055)</f>
        <v>8.8449011401133451</v>
      </c>
      <c r="O140" s="1">
        <f>2.35517627571914*(3.6/1.055)</f>
        <v>8.0366204669089267</v>
      </c>
    </row>
    <row r="141" spans="1:15" x14ac:dyDescent="0.45">
      <c r="A141" t="s">
        <v>390</v>
      </c>
      <c r="B141" s="1">
        <v>15.238770456499996</v>
      </c>
      <c r="C141" s="1">
        <v>15.1853971974004</v>
      </c>
      <c r="D141" s="1">
        <v>14.910611008709097</v>
      </c>
      <c r="E141" s="1">
        <v>7.824662524065797</v>
      </c>
      <c r="F141" s="1">
        <v>4.264115395834418</v>
      </c>
      <c r="G141" s="1">
        <v>48.220103367623565</v>
      </c>
      <c r="H141" s="1">
        <v>111.04354177460758</v>
      </c>
      <c r="I141" s="1">
        <f t="shared" si="10"/>
        <v>15.206421945274064</v>
      </c>
      <c r="J141" s="1">
        <f>2.20953143489265*(3.6/1.055)</f>
        <v>7.5396333323351081</v>
      </c>
      <c r="K141" s="1">
        <f>1.91213619520064*(3.6/1.055)</f>
        <v>6.5248249314903397</v>
      </c>
      <c r="L141" s="1">
        <f>2.44288636737764*(3.6/1.055)</f>
        <v>8.3359155664070972</v>
      </c>
      <c r="M141" s="1">
        <f>2.84152616441092*(3.6/1.055)</f>
        <v>9.6962030254780149</v>
      </c>
      <c r="N141" s="1">
        <f>2.76138788657741*(3.6/1.055)</f>
        <v>9.4227453949560918</v>
      </c>
      <c r="O141" s="1">
        <f>2.44434027843142*(3.6/1.055)</f>
        <v>8.3408767794816079</v>
      </c>
    </row>
    <row r="142" spans="1:15" x14ac:dyDescent="0.45">
      <c r="A142" t="s">
        <v>391</v>
      </c>
      <c r="B142" s="1">
        <v>15.238770456499999</v>
      </c>
      <c r="C142" s="1">
        <v>15.1853971974004</v>
      </c>
      <c r="D142" s="1">
        <v>14.910611008709097</v>
      </c>
      <c r="E142" s="1">
        <v>7.8427003105774116</v>
      </c>
      <c r="F142" s="1">
        <v>4.1970611879159216</v>
      </c>
      <c r="G142" s="1">
        <v>48.131430378850602</v>
      </c>
      <c r="H142" s="1">
        <v>111.53825086175358</v>
      </c>
      <c r="I142" s="1">
        <f t="shared" si="10"/>
        <v>15.206421945274068</v>
      </c>
      <c r="J142" s="1">
        <f>2.20953959546759*(3.6/1.055)</f>
        <v>7.5396611788467478</v>
      </c>
      <c r="K142" s="1">
        <f>1.91213344762153*(3.6/1.055)</f>
        <v>6.5248155558649437</v>
      </c>
      <c r="L142" s="1">
        <f>2.44285938831077*(3.6/1.055)</f>
        <v>8.3358235051362914</v>
      </c>
      <c r="M142" s="1">
        <f>2.84153384474212*(3.6/1.055)</f>
        <v>9.6962292332432671</v>
      </c>
      <c r="N142" s="1">
        <f>2.76135424395808*(3.6/1.055)</f>
        <v>9.4226305954967575</v>
      </c>
      <c r="O142" s="1">
        <f>2.42618555417809*(3.6/1.055)</f>
        <v>8.2789270095176395</v>
      </c>
    </row>
    <row r="143" spans="1:15" x14ac:dyDescent="0.45">
      <c r="A143" t="s">
        <v>392</v>
      </c>
      <c r="B143" s="1">
        <v>15.238770456499996</v>
      </c>
      <c r="C143" s="1">
        <v>15.185397197400398</v>
      </c>
      <c r="D143" s="1">
        <v>14.9106110087091</v>
      </c>
      <c r="E143" s="1">
        <v>8.8335647434173499</v>
      </c>
      <c r="F143" s="1">
        <v>5.1973122890177192</v>
      </c>
      <c r="G143" s="1">
        <v>45.394609213378807</v>
      </c>
      <c r="H143" s="1">
        <v>114.54070601136354</v>
      </c>
      <c r="I143" s="1">
        <f t="shared" si="10"/>
        <v>15.206421945274061</v>
      </c>
      <c r="J143" s="1">
        <f>2.20970398829989*(3.6/1.055)</f>
        <v>7.5402221401702398</v>
      </c>
      <c r="K143" s="1">
        <f>1.9131911046604*(3.6/1.055)</f>
        <v>6.5284246225378491</v>
      </c>
      <c r="L143" s="1">
        <f>2.44359647521046*(3.6/1.055)</f>
        <v>8.3383386831826112</v>
      </c>
      <c r="M143" s="1">
        <f>2.8411167959249*(3.6/1.055)</f>
        <v>9.6948061282745517</v>
      </c>
      <c r="N143" s="1">
        <f>2.75758234072253*(3.6/1.055)</f>
        <v>9.4097596460674087</v>
      </c>
      <c r="O143" s="1">
        <f>2.33926105120646*(3.6/1.055)</f>
        <v>7.9823125917945665</v>
      </c>
    </row>
    <row r="144" spans="1:15" x14ac:dyDescent="0.45">
      <c r="A144" t="s">
        <v>393</v>
      </c>
      <c r="B144" s="1">
        <v>15.238770456499999</v>
      </c>
      <c r="C144" s="1">
        <v>15.185397197400398</v>
      </c>
      <c r="D144" s="1">
        <v>14.910611008709102</v>
      </c>
      <c r="E144" s="1">
        <v>14.861522121538098</v>
      </c>
      <c r="F144" s="1">
        <v>15.151313532968201</v>
      </c>
      <c r="G144" s="1">
        <v>41.529329193863148</v>
      </c>
      <c r="H144" s="1">
        <v>100.28299113668169</v>
      </c>
      <c r="I144" s="1">
        <f t="shared" si="10"/>
        <v>15.206421945274068</v>
      </c>
      <c r="J144" s="1">
        <f>2.20957723798284*(3.6/1.055)</f>
        <v>7.5397896272400065</v>
      </c>
      <c r="K144" s="1">
        <f>1.91287853326463*(3.6/1.055)</f>
        <v>6.5273580282015811</v>
      </c>
      <c r="L144" s="1">
        <f>2.44331668792754*(3.6/1.055)</f>
        <v>8.3373839588048746</v>
      </c>
      <c r="M144" s="1">
        <f>2.90507185786351*(3.6/1.055)</f>
        <v>9.913041410719071</v>
      </c>
      <c r="N144" s="1">
        <f>2.8955910221402*(3.6/1.055)</f>
        <v>9.880689743795946</v>
      </c>
      <c r="O144" s="1">
        <f>2.47093725020175*(3.6/1.055)</f>
        <v>8.4316342186979103</v>
      </c>
    </row>
    <row r="145" spans="1:15" x14ac:dyDescent="0.45">
      <c r="A145" t="s">
        <v>394</v>
      </c>
      <c r="B145" s="1">
        <v>15.238770456499996</v>
      </c>
      <c r="C145" s="1">
        <v>15.1853971974004</v>
      </c>
      <c r="D145" s="1">
        <v>14.910611008709099</v>
      </c>
      <c r="E145" s="1">
        <v>14.861522121538099</v>
      </c>
      <c r="F145" s="1">
        <v>15.151313532968199</v>
      </c>
      <c r="G145" s="1">
        <v>41.529329193161544</v>
      </c>
      <c r="H145" s="1">
        <v>100.28299111682335</v>
      </c>
      <c r="I145" s="1">
        <f t="shared" si="10"/>
        <v>15.206421945274068</v>
      </c>
      <c r="J145" s="1">
        <f>2.20957723804821*(3.6/1.055)</f>
        <v>7.5397896274631027</v>
      </c>
      <c r="K145" s="1">
        <f>1.91287853319866*(3.6/1.055)</f>
        <v>6.5273580279764722</v>
      </c>
      <c r="L145" s="1">
        <f>2.4433166879444*(3.6/1.055)</f>
        <v>8.3373839588624126</v>
      </c>
      <c r="M145" s="1">
        <f>2.90507185787589*(3.6/1.055)</f>
        <v>9.9130414107613181</v>
      </c>
      <c r="N145" s="1">
        <f>2.89559102192921*(3.6/1.055)</f>
        <v>9.8806897430759726</v>
      </c>
      <c r="O145" s="1">
        <f>2.47093725029057*(3.6/1.055)</f>
        <v>8.431634219001003</v>
      </c>
    </row>
    <row r="146" spans="1:15" x14ac:dyDescent="0.45">
      <c r="A146" t="s">
        <v>395</v>
      </c>
      <c r="B146" s="1">
        <v>15.238770456499996</v>
      </c>
      <c r="C146" s="1">
        <v>15.185397197400402</v>
      </c>
      <c r="D146" s="1">
        <v>14.910611008709099</v>
      </c>
      <c r="E146" s="1">
        <v>14.861522121538099</v>
      </c>
      <c r="F146" s="1">
        <v>15.151313532968203</v>
      </c>
      <c r="G146" s="1">
        <v>39.670448654364847</v>
      </c>
      <c r="H146" s="1">
        <v>102.41136978279344</v>
      </c>
      <c r="I146" s="1">
        <f>4.45632643118449*(3.6/1.055)</f>
        <v>15.206421945274073</v>
      </c>
      <c r="J146" s="1">
        <f>2.20957540955562*(3.6/1.055)</f>
        <v>7.5397833880570957</v>
      </c>
      <c r="K146" s="1">
        <f>1.91279237566644*(3.6/1.055)</f>
        <v>6.5270640307101191</v>
      </c>
      <c r="L146" s="1">
        <f>2.44365335418722*(3.6/1.055)</f>
        <v>8.3385327725819902</v>
      </c>
      <c r="M146" s="1">
        <f>2.90444956233328*(3.6/1.055)</f>
        <v>9.9109179378197396</v>
      </c>
      <c r="N146" s="1">
        <f>2.86498985559318*(3.6/1.055)</f>
        <v>9.7762687015501744</v>
      </c>
      <c r="O146" s="1">
        <f>2.35638406361523*(3.6/1.055)</f>
        <v>8.0407418284500807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DFEE-931D-425B-A39A-DE5EEAFEF15B}">
  <dimension ref="A1:J3104"/>
  <sheetViews>
    <sheetView topLeftCell="A3065" workbookViewId="0">
      <selection activeCell="A799" sqref="A799"/>
    </sheetView>
  </sheetViews>
  <sheetFormatPr defaultRowHeight="14.25" x14ac:dyDescent="0.45"/>
  <cols>
    <col min="1" max="1" width="33.73046875" bestFit="1" customWidth="1"/>
    <col min="2" max="2" width="19.06640625" bestFit="1" customWidth="1"/>
    <col min="3" max="3" width="4.1328125" bestFit="1" customWidth="1"/>
    <col min="4" max="10" width="7.6640625" bestFit="1" customWidth="1"/>
  </cols>
  <sheetData>
    <row r="1" spans="1:10" ht="15.75" x14ac:dyDescent="0.5">
      <c r="A1" s="13" t="s">
        <v>251</v>
      </c>
      <c r="B1" s="13" t="s">
        <v>397</v>
      </c>
      <c r="C1" s="13" t="s">
        <v>398</v>
      </c>
      <c r="D1" s="13">
        <v>2023</v>
      </c>
      <c r="E1" s="13">
        <v>2025</v>
      </c>
      <c r="F1" s="13">
        <v>2030</v>
      </c>
      <c r="G1" s="13">
        <v>2035</v>
      </c>
      <c r="H1" s="13">
        <v>2040</v>
      </c>
      <c r="I1" s="13">
        <v>2045</v>
      </c>
      <c r="J1" s="13">
        <v>2050</v>
      </c>
    </row>
    <row r="2" spans="1:10" ht="15.75" x14ac:dyDescent="0.5">
      <c r="A2" s="13" t="s">
        <v>252</v>
      </c>
      <c r="B2" s="13" t="s">
        <v>399</v>
      </c>
      <c r="C2" s="13" t="s">
        <v>400</v>
      </c>
      <c r="D2" s="14">
        <v>7.2499064625597889</v>
      </c>
      <c r="E2" s="14">
        <v>4.2389343065693544E-2</v>
      </c>
      <c r="F2" s="14">
        <v>0.51246000000000114</v>
      </c>
      <c r="G2" s="14">
        <v>1.5414972183118203</v>
      </c>
      <c r="H2" s="14">
        <v>0.57597474177259966</v>
      </c>
      <c r="I2" s="14">
        <v>0.81985997080292128</v>
      </c>
      <c r="J2" s="14">
        <v>1.7351798540146015</v>
      </c>
    </row>
    <row r="3" spans="1:10" ht="15.75" x14ac:dyDescent="0.5">
      <c r="A3" s="13" t="s">
        <v>252</v>
      </c>
      <c r="B3" s="13" t="s">
        <v>401</v>
      </c>
      <c r="C3" s="13" t="s">
        <v>400</v>
      </c>
      <c r="D3" s="14" t="s">
        <v>250</v>
      </c>
      <c r="E3" s="14" t="s">
        <v>250</v>
      </c>
      <c r="F3" s="14">
        <v>81.476020556046848</v>
      </c>
      <c r="G3" s="14">
        <v>81.476020556046862</v>
      </c>
      <c r="H3" s="14">
        <v>19.686831135050625</v>
      </c>
      <c r="I3" s="14">
        <v>15.847907263078858</v>
      </c>
      <c r="J3" s="14" t="s">
        <v>250</v>
      </c>
    </row>
    <row r="4" spans="1:10" ht="15.75" x14ac:dyDescent="0.5">
      <c r="A4" s="13" t="s">
        <v>252</v>
      </c>
      <c r="B4" s="13" t="s">
        <v>402</v>
      </c>
      <c r="C4" s="13" t="s">
        <v>400</v>
      </c>
      <c r="D4" s="14">
        <v>1072.9916742877463</v>
      </c>
      <c r="E4" s="14">
        <v>398.92982156658974</v>
      </c>
      <c r="F4" s="14">
        <v>204.42161426180692</v>
      </c>
      <c r="G4" s="14">
        <v>333.6467062667096</v>
      </c>
      <c r="H4" s="14">
        <v>272.8201528058367</v>
      </c>
      <c r="I4" s="14">
        <v>217.58848321401601</v>
      </c>
      <c r="J4" s="14">
        <v>243.23817823967312</v>
      </c>
    </row>
    <row r="5" spans="1:10" ht="15.75" x14ac:dyDescent="0.5">
      <c r="A5" s="13" t="s">
        <v>252</v>
      </c>
      <c r="B5" s="13" t="s">
        <v>403</v>
      </c>
      <c r="C5" s="13" t="s">
        <v>400</v>
      </c>
      <c r="D5" s="14" t="s">
        <v>250</v>
      </c>
      <c r="E5" s="14" t="s">
        <v>250</v>
      </c>
      <c r="F5" s="14">
        <v>17.310875884224682</v>
      </c>
      <c r="G5" s="14">
        <v>17.310875884224686</v>
      </c>
      <c r="H5" s="14">
        <v>3.4714323297242013</v>
      </c>
      <c r="I5" s="14">
        <v>3.4714323297242009</v>
      </c>
      <c r="J5" s="14" t="s">
        <v>250</v>
      </c>
    </row>
    <row r="6" spans="1:10" ht="15.75" x14ac:dyDescent="0.5">
      <c r="A6" s="13" t="s">
        <v>252</v>
      </c>
      <c r="B6" s="13" t="s">
        <v>404</v>
      </c>
      <c r="C6" s="13" t="s">
        <v>400</v>
      </c>
      <c r="D6" s="14" t="s">
        <v>250</v>
      </c>
      <c r="E6" s="14" t="s">
        <v>250</v>
      </c>
      <c r="F6" s="14" t="s">
        <v>250</v>
      </c>
      <c r="G6" s="14" t="s">
        <v>250</v>
      </c>
      <c r="H6" s="14" t="s">
        <v>250</v>
      </c>
      <c r="I6" s="14">
        <v>0.3306989691452854</v>
      </c>
      <c r="J6" s="14">
        <v>0.33069896914528529</v>
      </c>
    </row>
    <row r="7" spans="1:10" ht="15.75" x14ac:dyDescent="0.5">
      <c r="A7" s="13" t="s">
        <v>252</v>
      </c>
      <c r="B7" s="13" t="s">
        <v>405</v>
      </c>
      <c r="C7" s="13" t="s">
        <v>400</v>
      </c>
      <c r="D7" s="14">
        <v>1259.3891290889944</v>
      </c>
      <c r="E7" s="14">
        <v>1342.2327552292954</v>
      </c>
      <c r="F7" s="14">
        <v>1495.5276734149095</v>
      </c>
      <c r="G7" s="14">
        <v>1956.799961348964</v>
      </c>
      <c r="H7" s="14">
        <v>2153.8060937121727</v>
      </c>
      <c r="I7" s="14">
        <v>1990.4255415577645</v>
      </c>
      <c r="J7" s="14">
        <v>2290.4567024990301</v>
      </c>
    </row>
    <row r="8" spans="1:10" ht="15.75" x14ac:dyDescent="0.5">
      <c r="A8" s="13" t="s">
        <v>252</v>
      </c>
      <c r="B8" s="13" t="s">
        <v>406</v>
      </c>
      <c r="C8" s="13" t="s">
        <v>400</v>
      </c>
      <c r="D8" s="14">
        <v>23.479196814299335</v>
      </c>
      <c r="E8" s="14">
        <v>20.202904327027731</v>
      </c>
      <c r="F8" s="14">
        <v>42.590865316359846</v>
      </c>
      <c r="G8" s="14">
        <v>43.412128604346776</v>
      </c>
      <c r="H8" s="14">
        <v>43.006023589391042</v>
      </c>
      <c r="I8" s="14">
        <v>43.116634838192319</v>
      </c>
      <c r="J8" s="14">
        <v>43.615547361063435</v>
      </c>
    </row>
    <row r="9" spans="1:10" ht="15.75" x14ac:dyDescent="0.5">
      <c r="A9" s="13" t="s">
        <v>252</v>
      </c>
      <c r="B9" s="13" t="s">
        <v>407</v>
      </c>
      <c r="C9" s="13" t="s">
        <v>400</v>
      </c>
      <c r="D9" s="14" t="s">
        <v>250</v>
      </c>
      <c r="E9" s="14">
        <v>114.01892526451786</v>
      </c>
      <c r="F9" s="14">
        <v>69.991712243981652</v>
      </c>
      <c r="G9" s="14">
        <v>202.48491042206794</v>
      </c>
      <c r="H9" s="14">
        <v>109.18328139955459</v>
      </c>
      <c r="I9" s="14">
        <v>34.646465496569355</v>
      </c>
      <c r="J9" s="14">
        <v>62.154011255714565</v>
      </c>
    </row>
    <row r="10" spans="1:10" ht="15.75" x14ac:dyDescent="0.5">
      <c r="A10" s="13" t="s">
        <v>252</v>
      </c>
      <c r="B10" s="13" t="s">
        <v>408</v>
      </c>
      <c r="C10" s="13" t="s">
        <v>400</v>
      </c>
      <c r="D10" s="14">
        <v>46.892290321001219</v>
      </c>
      <c r="E10" s="14">
        <v>35.09778658019674</v>
      </c>
      <c r="F10" s="14">
        <v>32.198310322292812</v>
      </c>
      <c r="G10" s="14">
        <v>45.889373948618193</v>
      </c>
      <c r="H10" s="14">
        <v>44.748966048748592</v>
      </c>
      <c r="I10" s="14">
        <v>43.170879121982615</v>
      </c>
      <c r="J10" s="14">
        <v>45.288626822829244</v>
      </c>
    </row>
    <row r="11" spans="1:10" ht="15.75" x14ac:dyDescent="0.5">
      <c r="A11" s="13" t="s">
        <v>252</v>
      </c>
      <c r="B11" s="13" t="s">
        <v>409</v>
      </c>
      <c r="C11" s="13" t="s">
        <v>400</v>
      </c>
      <c r="D11" s="14">
        <v>18.365704270000034</v>
      </c>
      <c r="E11" s="14">
        <v>18.365704270000034</v>
      </c>
      <c r="F11" s="14">
        <v>18.365704270000037</v>
      </c>
      <c r="G11" s="14">
        <v>18.36570427000003</v>
      </c>
      <c r="H11" s="14">
        <v>18.365704270000037</v>
      </c>
      <c r="I11" s="14">
        <v>18.365704270000037</v>
      </c>
      <c r="J11" s="14">
        <v>18.365704270000037</v>
      </c>
    </row>
    <row r="12" spans="1:10" ht="15.75" x14ac:dyDescent="0.5">
      <c r="A12" s="13" t="s">
        <v>252</v>
      </c>
      <c r="B12" s="13" t="s">
        <v>410</v>
      </c>
      <c r="C12" s="13" t="s">
        <v>400</v>
      </c>
      <c r="D12" s="14">
        <v>245.79356253202215</v>
      </c>
      <c r="E12" s="14">
        <v>245.16861153693611</v>
      </c>
      <c r="F12" s="14">
        <v>246.10709024899501</v>
      </c>
      <c r="G12" s="14">
        <v>246.14973280241313</v>
      </c>
      <c r="H12" s="14">
        <v>246.07483345963919</v>
      </c>
      <c r="I12" s="14">
        <v>246.05158218956618</v>
      </c>
      <c r="J12" s="14">
        <v>246.16997594139102</v>
      </c>
    </row>
    <row r="13" spans="1:10" ht="15.75" x14ac:dyDescent="0.5">
      <c r="A13" s="13" t="s">
        <v>252</v>
      </c>
      <c r="B13" s="13" t="s">
        <v>411</v>
      </c>
      <c r="C13" s="13" t="s">
        <v>400</v>
      </c>
      <c r="D13" s="14">
        <v>7.1394000000000153</v>
      </c>
      <c r="E13" s="14">
        <v>6.3695187610231265</v>
      </c>
      <c r="F13" s="14">
        <v>1.9272000000000054</v>
      </c>
      <c r="G13" s="14">
        <v>1.9272000000000051</v>
      </c>
      <c r="H13" s="14">
        <v>1.9272000000000056</v>
      </c>
      <c r="I13" s="14">
        <v>1.9272000000000058</v>
      </c>
      <c r="J13" s="14">
        <v>1.9272000000000054</v>
      </c>
    </row>
    <row r="14" spans="1:10" ht="15.75" x14ac:dyDescent="0.5">
      <c r="A14" s="13" t="s">
        <v>252</v>
      </c>
      <c r="B14" s="13" t="s">
        <v>412</v>
      </c>
      <c r="C14" s="13" t="s">
        <v>400</v>
      </c>
      <c r="D14" s="14">
        <v>760.72545968400163</v>
      </c>
      <c r="E14" s="14">
        <v>747.72639437110467</v>
      </c>
      <c r="F14" s="14">
        <v>634.77146197519994</v>
      </c>
      <c r="G14" s="14">
        <v>695.97072269880971</v>
      </c>
      <c r="H14" s="14">
        <v>695.14062890251444</v>
      </c>
      <c r="I14" s="14">
        <v>655.60337478560689</v>
      </c>
      <c r="J14" s="14">
        <v>670.31902325119779</v>
      </c>
    </row>
    <row r="15" spans="1:10" ht="15.75" x14ac:dyDescent="0.5">
      <c r="A15" s="13" t="s">
        <v>252</v>
      </c>
      <c r="B15" s="13" t="s">
        <v>413</v>
      </c>
      <c r="C15" s="13" t="s">
        <v>400</v>
      </c>
      <c r="D15" s="14">
        <v>23.702927619886136</v>
      </c>
      <c r="E15" s="14">
        <v>20.456480001712546</v>
      </c>
      <c r="F15" s="14">
        <v>5.9070901537157248</v>
      </c>
      <c r="G15" s="14">
        <v>2.651603867539662</v>
      </c>
      <c r="H15" s="14">
        <v>1.1561669526703409</v>
      </c>
      <c r="I15" s="14">
        <v>0.7404804413705548</v>
      </c>
      <c r="J15" s="14">
        <v>0.59725970802919792</v>
      </c>
    </row>
    <row r="16" spans="1:10" ht="15.75" x14ac:dyDescent="0.5">
      <c r="A16" s="13" t="s">
        <v>252</v>
      </c>
      <c r="B16" s="13" t="s">
        <v>414</v>
      </c>
      <c r="C16" s="13" t="s">
        <v>400</v>
      </c>
      <c r="D16" s="14">
        <v>0.6803907705109502</v>
      </c>
      <c r="E16" s="14">
        <v>24.088891737351261</v>
      </c>
      <c r="F16" s="14">
        <v>94.608772079092716</v>
      </c>
      <c r="G16" s="14">
        <v>188.54695170513432</v>
      </c>
      <c r="H16" s="14">
        <v>228.10697798307041</v>
      </c>
      <c r="I16" s="14">
        <v>228.6839866556202</v>
      </c>
      <c r="J16" s="14">
        <v>229.09613570744196</v>
      </c>
    </row>
    <row r="17" spans="1:10" ht="15.75" x14ac:dyDescent="0.5">
      <c r="A17" s="13" t="s">
        <v>252</v>
      </c>
      <c r="B17" s="13" t="s">
        <v>415</v>
      </c>
      <c r="C17" s="13" t="s">
        <v>400</v>
      </c>
      <c r="D17" s="14">
        <v>440.53124483255556</v>
      </c>
      <c r="E17" s="14">
        <v>870.81150656868851</v>
      </c>
      <c r="F17" s="14">
        <v>1360.7066360357801</v>
      </c>
      <c r="G17" s="14">
        <v>1437.2169770676544</v>
      </c>
      <c r="H17" s="14">
        <v>1995.0005069327149</v>
      </c>
      <c r="I17" s="14">
        <v>2893.5196621687169</v>
      </c>
      <c r="J17" s="14">
        <v>2955.2148237997262</v>
      </c>
    </row>
    <row r="18" spans="1:10" ht="15.75" x14ac:dyDescent="0.5">
      <c r="A18" s="13" t="s">
        <v>252</v>
      </c>
      <c r="B18" s="13" t="s">
        <v>416</v>
      </c>
      <c r="C18" s="13" t="s">
        <v>400</v>
      </c>
      <c r="D18" s="14" t="s">
        <v>250</v>
      </c>
      <c r="E18" s="14">
        <v>54.174742594981005</v>
      </c>
      <c r="F18" s="14">
        <v>66.675949052097437</v>
      </c>
      <c r="G18" s="14">
        <v>76.801435170202126</v>
      </c>
      <c r="H18" s="14">
        <v>77.990654991853702</v>
      </c>
      <c r="I18" s="14">
        <v>82.683057309487694</v>
      </c>
      <c r="J18" s="14">
        <v>94.727837483420927</v>
      </c>
    </row>
    <row r="19" spans="1:10" ht="15.75" x14ac:dyDescent="0.5">
      <c r="A19" s="13" t="s">
        <v>252</v>
      </c>
      <c r="B19" s="13" t="s">
        <v>417</v>
      </c>
      <c r="C19" s="13" t="s">
        <v>400</v>
      </c>
      <c r="D19" s="14">
        <v>187.48709633408683</v>
      </c>
      <c r="E19" s="14">
        <v>302.99036902944346</v>
      </c>
      <c r="F19" s="14">
        <v>345.7454875132471</v>
      </c>
      <c r="G19" s="14">
        <v>419.27015154831622</v>
      </c>
      <c r="H19" s="14">
        <v>1034.8697064826144</v>
      </c>
      <c r="I19" s="14">
        <v>1580.636105140477</v>
      </c>
      <c r="J19" s="14">
        <v>1659.3681368455764</v>
      </c>
    </row>
    <row r="20" spans="1:10" ht="15.75" x14ac:dyDescent="0.5">
      <c r="A20" s="13" t="s">
        <v>252</v>
      </c>
      <c r="B20" s="13" t="s">
        <v>418</v>
      </c>
      <c r="C20" s="13" t="s">
        <v>400</v>
      </c>
      <c r="D20" s="14">
        <v>3.1841751731019539</v>
      </c>
      <c r="E20" s="14">
        <v>3.1841751731019534</v>
      </c>
      <c r="F20" s="14">
        <v>3.1841751731019534</v>
      </c>
      <c r="G20" s="14">
        <v>3.184175173101953</v>
      </c>
      <c r="H20" s="14">
        <v>3.184175173101953</v>
      </c>
      <c r="I20" s="14">
        <v>3.1841751731019539</v>
      </c>
      <c r="J20" s="14">
        <v>3.184175173101953</v>
      </c>
    </row>
    <row r="21" spans="1:10" ht="15.75" x14ac:dyDescent="0.5">
      <c r="A21" s="13" t="s">
        <v>252</v>
      </c>
      <c r="B21" s="13" t="s">
        <v>419</v>
      </c>
      <c r="C21" s="13" t="s">
        <v>400</v>
      </c>
      <c r="D21" s="14">
        <v>0.54465920264079504</v>
      </c>
      <c r="E21" s="14">
        <v>8.3273284274808361</v>
      </c>
      <c r="F21" s="14">
        <v>20.313620422827807</v>
      </c>
      <c r="G21" s="14">
        <v>33.597618383750152</v>
      </c>
      <c r="H21" s="14">
        <v>75.511902383278112</v>
      </c>
      <c r="I21" s="14">
        <v>313.68498262387152</v>
      </c>
      <c r="J21" s="14">
        <v>277.61369788372224</v>
      </c>
    </row>
    <row r="22" spans="1:10" ht="15.75" x14ac:dyDescent="0.5">
      <c r="A22" s="13" t="s">
        <v>252</v>
      </c>
      <c r="B22" s="13" t="s">
        <v>420</v>
      </c>
      <c r="C22" s="13" t="s">
        <v>400</v>
      </c>
      <c r="D22" s="14">
        <v>-13.98725295780836</v>
      </c>
      <c r="E22" s="14">
        <v>-13.763117113881846</v>
      </c>
      <c r="F22" s="14">
        <v>-13.535850249954564</v>
      </c>
      <c r="G22" s="14">
        <v>-13.128970804038243</v>
      </c>
      <c r="H22" s="14">
        <v>-12.186700217605921</v>
      </c>
      <c r="I22" s="14">
        <v>-15.617079964182651</v>
      </c>
      <c r="J22" s="14">
        <v>-17.201671341911229</v>
      </c>
    </row>
    <row r="23" spans="1:10" ht="15.75" x14ac:dyDescent="0.5">
      <c r="A23" s="13" t="s">
        <v>253</v>
      </c>
      <c r="B23" s="13" t="s">
        <v>399</v>
      </c>
      <c r="C23" s="13" t="s">
        <v>400</v>
      </c>
      <c r="D23" s="14">
        <v>7.2499064625597889</v>
      </c>
      <c r="E23" s="14">
        <v>4.2389343065693544E-2</v>
      </c>
      <c r="F23" s="14">
        <v>0.51246000000000114</v>
      </c>
      <c r="G23" s="14">
        <v>1.5367378185190232</v>
      </c>
      <c r="H23" s="14">
        <v>0.57604861313868716</v>
      </c>
      <c r="I23" s="14">
        <v>0.89191751824817678</v>
      </c>
      <c r="J23" s="14">
        <v>1.7351798540146013</v>
      </c>
    </row>
    <row r="24" spans="1:10" ht="15.75" x14ac:dyDescent="0.5">
      <c r="A24" s="13" t="s">
        <v>253</v>
      </c>
      <c r="B24" s="13" t="s">
        <v>401</v>
      </c>
      <c r="C24" s="13" t="s">
        <v>400</v>
      </c>
      <c r="D24" s="14" t="s">
        <v>250</v>
      </c>
      <c r="E24" s="14" t="s">
        <v>250</v>
      </c>
      <c r="F24" s="14">
        <v>81.492916962948527</v>
      </c>
      <c r="G24" s="14">
        <v>81.492916962948541</v>
      </c>
      <c r="H24" s="14">
        <v>19.672600044278731</v>
      </c>
      <c r="I24" s="14">
        <v>15.80320850106753</v>
      </c>
      <c r="J24" s="14" t="s">
        <v>250</v>
      </c>
    </row>
    <row r="25" spans="1:10" ht="15.75" x14ac:dyDescent="0.5">
      <c r="A25" s="13" t="s">
        <v>253</v>
      </c>
      <c r="B25" s="13" t="s">
        <v>402</v>
      </c>
      <c r="C25" s="13" t="s">
        <v>400</v>
      </c>
      <c r="D25" s="14">
        <v>1072.9916742877465</v>
      </c>
      <c r="E25" s="14">
        <v>398.79413383000451</v>
      </c>
      <c r="F25" s="14">
        <v>204.28329765489627</v>
      </c>
      <c r="G25" s="14">
        <v>333.82648941524769</v>
      </c>
      <c r="H25" s="14">
        <v>272.8477736333125</v>
      </c>
      <c r="I25" s="14">
        <v>218.0052994111567</v>
      </c>
      <c r="J25" s="14">
        <v>240.8977295021526</v>
      </c>
    </row>
    <row r="26" spans="1:10" ht="15.75" x14ac:dyDescent="0.5">
      <c r="A26" s="13" t="s">
        <v>253</v>
      </c>
      <c r="B26" s="13" t="s">
        <v>403</v>
      </c>
      <c r="C26" s="13" t="s">
        <v>400</v>
      </c>
      <c r="D26" s="14" t="s">
        <v>250</v>
      </c>
      <c r="E26" s="14" t="s">
        <v>250</v>
      </c>
      <c r="F26" s="14">
        <v>17.358741431887285</v>
      </c>
      <c r="G26" s="14">
        <v>17.358741431887292</v>
      </c>
      <c r="H26" s="14">
        <v>3.4810310358062746</v>
      </c>
      <c r="I26" s="14">
        <v>3.4810310358062742</v>
      </c>
      <c r="J26" s="14" t="s">
        <v>250</v>
      </c>
    </row>
    <row r="27" spans="1:10" ht="15.75" x14ac:dyDescent="0.5">
      <c r="A27" s="13" t="s">
        <v>253</v>
      </c>
      <c r="B27" s="13" t="s">
        <v>404</v>
      </c>
      <c r="C27" s="13" t="s">
        <v>400</v>
      </c>
      <c r="D27" s="14" t="s">
        <v>250</v>
      </c>
      <c r="E27" s="14" t="s">
        <v>250</v>
      </c>
      <c r="F27" s="14" t="s">
        <v>250</v>
      </c>
      <c r="G27" s="14" t="s">
        <v>250</v>
      </c>
      <c r="H27" s="14" t="s">
        <v>250</v>
      </c>
      <c r="I27" s="14">
        <v>0.33069896914528535</v>
      </c>
      <c r="J27" s="14">
        <v>0.33069896914528535</v>
      </c>
    </row>
    <row r="28" spans="1:10" ht="15.75" x14ac:dyDescent="0.5">
      <c r="A28" s="13" t="s">
        <v>253</v>
      </c>
      <c r="B28" s="13" t="s">
        <v>405</v>
      </c>
      <c r="C28" s="13" t="s">
        <v>400</v>
      </c>
      <c r="D28" s="14">
        <v>1259.3891290889935</v>
      </c>
      <c r="E28" s="14">
        <v>1342.2469118447355</v>
      </c>
      <c r="F28" s="14">
        <v>1495.1586712667422</v>
      </c>
      <c r="G28" s="14">
        <v>1956.7605818320919</v>
      </c>
      <c r="H28" s="14">
        <v>2153.7876077004585</v>
      </c>
      <c r="I28" s="14">
        <v>1982.0696317385975</v>
      </c>
      <c r="J28" s="14">
        <v>2256.6765448503993</v>
      </c>
    </row>
    <row r="29" spans="1:10" ht="15.75" x14ac:dyDescent="0.5">
      <c r="A29" s="13" t="s">
        <v>253</v>
      </c>
      <c r="B29" s="13" t="s">
        <v>406</v>
      </c>
      <c r="C29" s="13" t="s">
        <v>400</v>
      </c>
      <c r="D29" s="14">
        <v>23.479196814299335</v>
      </c>
      <c r="E29" s="14">
        <v>20.199383180893999</v>
      </c>
      <c r="F29" s="14">
        <v>42.573208481254127</v>
      </c>
      <c r="G29" s="14">
        <v>43.396910809069254</v>
      </c>
      <c r="H29" s="14">
        <v>42.998448938439637</v>
      </c>
      <c r="I29" s="14">
        <v>42.915243186585016</v>
      </c>
      <c r="J29" s="14">
        <v>43.364870553452029</v>
      </c>
    </row>
    <row r="30" spans="1:10" ht="15.75" x14ac:dyDescent="0.5">
      <c r="A30" s="13" t="s">
        <v>253</v>
      </c>
      <c r="B30" s="13" t="s">
        <v>407</v>
      </c>
      <c r="C30" s="13" t="s">
        <v>400</v>
      </c>
      <c r="D30" s="14" t="s">
        <v>250</v>
      </c>
      <c r="E30" s="14">
        <v>114.03694669786512</v>
      </c>
      <c r="F30" s="14">
        <v>69.905446273806234</v>
      </c>
      <c r="G30" s="14">
        <v>202.34372589004803</v>
      </c>
      <c r="H30" s="14">
        <v>108.73512265623469</v>
      </c>
      <c r="I30" s="14">
        <v>39.392302598438491</v>
      </c>
      <c r="J30" s="14">
        <v>59.097129044651041</v>
      </c>
    </row>
    <row r="31" spans="1:10" ht="15.75" x14ac:dyDescent="0.5">
      <c r="A31" s="13" t="s">
        <v>253</v>
      </c>
      <c r="B31" s="13" t="s">
        <v>408</v>
      </c>
      <c r="C31" s="13" t="s">
        <v>400</v>
      </c>
      <c r="D31" s="14">
        <v>46.892290321001241</v>
      </c>
      <c r="E31" s="14">
        <v>35.101719268946837</v>
      </c>
      <c r="F31" s="14">
        <v>32.215364615202873</v>
      </c>
      <c r="G31" s="14">
        <v>45.889272012402365</v>
      </c>
      <c r="H31" s="14">
        <v>44.638553545961301</v>
      </c>
      <c r="I31" s="14">
        <v>43.238000901547402</v>
      </c>
      <c r="J31" s="14">
        <v>45.068771217450639</v>
      </c>
    </row>
    <row r="32" spans="1:10" ht="15.75" x14ac:dyDescent="0.5">
      <c r="A32" s="13" t="s">
        <v>253</v>
      </c>
      <c r="B32" s="13" t="s">
        <v>409</v>
      </c>
      <c r="C32" s="13" t="s">
        <v>400</v>
      </c>
      <c r="D32" s="14">
        <v>18.365704270000034</v>
      </c>
      <c r="E32" s="14">
        <v>18.36570427000003</v>
      </c>
      <c r="F32" s="14">
        <v>18.365704270000034</v>
      </c>
      <c r="G32" s="14">
        <v>18.365704270000034</v>
      </c>
      <c r="H32" s="14">
        <v>18.36570427000003</v>
      </c>
      <c r="I32" s="14">
        <v>18.365704270000034</v>
      </c>
      <c r="J32" s="14">
        <v>18.365704270000037</v>
      </c>
    </row>
    <row r="33" spans="1:10" ht="15.75" x14ac:dyDescent="0.5">
      <c r="A33" s="13" t="s">
        <v>253</v>
      </c>
      <c r="B33" s="13" t="s">
        <v>410</v>
      </c>
      <c r="C33" s="13" t="s">
        <v>400</v>
      </c>
      <c r="D33" s="14">
        <v>245.79356253202218</v>
      </c>
      <c r="E33" s="14">
        <v>245.1702762222383</v>
      </c>
      <c r="F33" s="14">
        <v>246.10562826989184</v>
      </c>
      <c r="G33" s="14">
        <v>246.14973280241301</v>
      </c>
      <c r="H33" s="14">
        <v>246.07483345963936</v>
      </c>
      <c r="I33" s="14">
        <v>246.05158218956618</v>
      </c>
      <c r="J33" s="14">
        <v>246.16997594139102</v>
      </c>
    </row>
    <row r="34" spans="1:10" ht="15.75" x14ac:dyDescent="0.5">
      <c r="A34" s="13" t="s">
        <v>253</v>
      </c>
      <c r="B34" s="13" t="s">
        <v>411</v>
      </c>
      <c r="C34" s="13" t="s">
        <v>400</v>
      </c>
      <c r="D34" s="14">
        <v>7.1394000000000162</v>
      </c>
      <c r="E34" s="14">
        <v>6.4874980531664121</v>
      </c>
      <c r="F34" s="14">
        <v>1.9272000000000049</v>
      </c>
      <c r="G34" s="14">
        <v>1.9272000000000058</v>
      </c>
      <c r="H34" s="14">
        <v>1.9272000000000056</v>
      </c>
      <c r="I34" s="14">
        <v>1.9272000000000054</v>
      </c>
      <c r="J34" s="14">
        <v>1.9272000000000054</v>
      </c>
    </row>
    <row r="35" spans="1:10" ht="15.75" x14ac:dyDescent="0.5">
      <c r="A35" s="13" t="s">
        <v>253</v>
      </c>
      <c r="B35" s="13" t="s">
        <v>412</v>
      </c>
      <c r="C35" s="13" t="s">
        <v>400</v>
      </c>
      <c r="D35" s="14">
        <v>760.72545968400175</v>
      </c>
      <c r="E35" s="14">
        <v>747.74362012397285</v>
      </c>
      <c r="F35" s="14">
        <v>634.84662152176372</v>
      </c>
      <c r="G35" s="14">
        <v>695.92843047207816</v>
      </c>
      <c r="H35" s="14">
        <v>695.08515355824886</v>
      </c>
      <c r="I35" s="14">
        <v>665.03520742681269</v>
      </c>
      <c r="J35" s="14">
        <v>724.48808872177199</v>
      </c>
    </row>
    <row r="36" spans="1:10" ht="15.75" x14ac:dyDescent="0.5">
      <c r="A36" s="13" t="s">
        <v>253</v>
      </c>
      <c r="B36" s="13" t="s">
        <v>413</v>
      </c>
      <c r="C36" s="13" t="s">
        <v>400</v>
      </c>
      <c r="D36" s="14">
        <v>23.702927619886136</v>
      </c>
      <c r="E36" s="14">
        <v>20.442345964181619</v>
      </c>
      <c r="F36" s="14">
        <v>5.9142028485144094</v>
      </c>
      <c r="G36" s="14">
        <v>2.6331406831962347</v>
      </c>
      <c r="H36" s="14">
        <v>1.1561669526703409</v>
      </c>
      <c r="I36" s="14">
        <v>0.73458357504327221</v>
      </c>
      <c r="J36" s="14">
        <v>0.59725970802919792</v>
      </c>
    </row>
    <row r="37" spans="1:10" ht="15.75" x14ac:dyDescent="0.5">
      <c r="A37" s="13" t="s">
        <v>253</v>
      </c>
      <c r="B37" s="13" t="s">
        <v>414</v>
      </c>
      <c r="C37" s="13" t="s">
        <v>400</v>
      </c>
      <c r="D37" s="14">
        <v>0.6803907705109502</v>
      </c>
      <c r="E37" s="14">
        <v>24.088891737351261</v>
      </c>
      <c r="F37" s="14">
        <v>94.611872877389487</v>
      </c>
      <c r="G37" s="14">
        <v>188.55225209188185</v>
      </c>
      <c r="H37" s="14">
        <v>228.10697798307041</v>
      </c>
      <c r="I37" s="14">
        <v>228.68398665562017</v>
      </c>
      <c r="J37" s="14">
        <v>229.09613570744193</v>
      </c>
    </row>
    <row r="38" spans="1:10" ht="15.75" x14ac:dyDescent="0.5">
      <c r="A38" s="13" t="s">
        <v>253</v>
      </c>
      <c r="B38" s="13" t="s">
        <v>415</v>
      </c>
      <c r="C38" s="13" t="s">
        <v>400</v>
      </c>
      <c r="D38" s="14">
        <v>440.53124483255567</v>
      </c>
      <c r="E38" s="14">
        <v>870.81150656868908</v>
      </c>
      <c r="F38" s="14">
        <v>1361.3343605282762</v>
      </c>
      <c r="G38" s="14">
        <v>1437.0621608780382</v>
      </c>
      <c r="H38" s="14">
        <v>1994.4951111791984</v>
      </c>
      <c r="I38" s="14">
        <v>2890.748440046983</v>
      </c>
      <c r="J38" s="14">
        <v>2940.6094192027404</v>
      </c>
    </row>
    <row r="39" spans="1:10" ht="15.75" x14ac:dyDescent="0.5">
      <c r="A39" s="13" t="s">
        <v>253</v>
      </c>
      <c r="B39" s="13" t="s">
        <v>416</v>
      </c>
      <c r="C39" s="13" t="s">
        <v>400</v>
      </c>
      <c r="D39" s="14" t="s">
        <v>250</v>
      </c>
      <c r="E39" s="14">
        <v>54.174742594981012</v>
      </c>
      <c r="F39" s="14">
        <v>66.675949052097465</v>
      </c>
      <c r="G39" s="14">
        <v>76.801435170202154</v>
      </c>
      <c r="H39" s="14">
        <v>77.990654991853731</v>
      </c>
      <c r="I39" s="14">
        <v>82.683057309487609</v>
      </c>
      <c r="J39" s="14">
        <v>94.72783748342097</v>
      </c>
    </row>
    <row r="40" spans="1:10" ht="15.75" x14ac:dyDescent="0.5">
      <c r="A40" s="13" t="s">
        <v>253</v>
      </c>
      <c r="B40" s="13" t="s">
        <v>417</v>
      </c>
      <c r="C40" s="13" t="s">
        <v>400</v>
      </c>
      <c r="D40" s="14">
        <v>187.48709633408703</v>
      </c>
      <c r="E40" s="14">
        <v>302.99036902944351</v>
      </c>
      <c r="F40" s="14">
        <v>345.74548751324716</v>
      </c>
      <c r="G40" s="14">
        <v>419.56223291751974</v>
      </c>
      <c r="H40" s="14">
        <v>1036.2888679101513</v>
      </c>
      <c r="I40" s="14">
        <v>1573.0512973615298</v>
      </c>
      <c r="J40" s="14">
        <v>1646.5606410133125</v>
      </c>
    </row>
    <row r="41" spans="1:10" ht="15.75" x14ac:dyDescent="0.5">
      <c r="A41" s="13" t="s">
        <v>253</v>
      </c>
      <c r="B41" s="13" t="s">
        <v>418</v>
      </c>
      <c r="C41" s="13" t="s">
        <v>400</v>
      </c>
      <c r="D41" s="14">
        <v>3.1841751731019539</v>
      </c>
      <c r="E41" s="14">
        <v>3.1841751731019534</v>
      </c>
      <c r="F41" s="14">
        <v>3.1841751731019534</v>
      </c>
      <c r="G41" s="14">
        <v>3.1841751731019534</v>
      </c>
      <c r="H41" s="14">
        <v>3.1841751731019534</v>
      </c>
      <c r="I41" s="14">
        <v>3.1841751731019534</v>
      </c>
      <c r="J41" s="14">
        <v>3.1841751731019534</v>
      </c>
    </row>
    <row r="42" spans="1:10" ht="15.75" x14ac:dyDescent="0.5">
      <c r="A42" s="13" t="s">
        <v>253</v>
      </c>
      <c r="B42" s="13" t="s">
        <v>419</v>
      </c>
      <c r="C42" s="13" t="s">
        <v>400</v>
      </c>
      <c r="D42" s="14">
        <v>0.54465920264079504</v>
      </c>
      <c r="E42" s="14">
        <v>8.3034169741523733</v>
      </c>
      <c r="F42" s="14">
        <v>20.295851617186365</v>
      </c>
      <c r="G42" s="14">
        <v>33.640535864796774</v>
      </c>
      <c r="H42" s="14">
        <v>75.875276382463483</v>
      </c>
      <c r="I42" s="14">
        <v>309.27017998584734</v>
      </c>
      <c r="J42" s="14">
        <v>268.66092064357372</v>
      </c>
    </row>
    <row r="43" spans="1:10" ht="15.75" x14ac:dyDescent="0.5">
      <c r="A43" s="13" t="s">
        <v>253</v>
      </c>
      <c r="B43" s="13" t="s">
        <v>420</v>
      </c>
      <c r="C43" s="13" t="s">
        <v>400</v>
      </c>
      <c r="D43" s="14">
        <v>-13.987252957808405</v>
      </c>
      <c r="E43" s="14">
        <v>-13.745301032751614</v>
      </c>
      <c r="F43" s="14">
        <v>-13.524628218631959</v>
      </c>
      <c r="G43" s="14">
        <v>-13.117779335509912</v>
      </c>
      <c r="H43" s="14">
        <v>-12.129728851655335</v>
      </c>
      <c r="I43" s="14">
        <v>-15.551757968134526</v>
      </c>
      <c r="J43" s="14">
        <v>-17.237046715421343</v>
      </c>
    </row>
    <row r="44" spans="1:10" ht="15.75" x14ac:dyDescent="0.5">
      <c r="A44" s="13" t="s">
        <v>254</v>
      </c>
      <c r="B44" s="13" t="s">
        <v>399</v>
      </c>
      <c r="C44" s="13" t="s">
        <v>400</v>
      </c>
      <c r="D44" s="14">
        <v>7.2499064625597889</v>
      </c>
      <c r="E44" s="14">
        <v>4.2389343065693544E-2</v>
      </c>
      <c r="F44" s="14">
        <v>0.51246000000000114</v>
      </c>
      <c r="G44" s="14">
        <v>1.7951631215984492</v>
      </c>
      <c r="H44" s="14">
        <v>1.0108156183489907</v>
      </c>
      <c r="I44" s="14">
        <v>0.21654000000000034</v>
      </c>
      <c r="J44" s="14">
        <v>0.5460906052635589</v>
      </c>
    </row>
    <row r="45" spans="1:10" ht="15.75" x14ac:dyDescent="0.5">
      <c r="A45" s="13" t="s">
        <v>254</v>
      </c>
      <c r="B45" s="13" t="s">
        <v>401</v>
      </c>
      <c r="C45" s="13" t="s">
        <v>400</v>
      </c>
      <c r="D45" s="14" t="s">
        <v>250</v>
      </c>
      <c r="E45" s="14" t="s">
        <v>250</v>
      </c>
      <c r="F45" s="14">
        <v>82.874921961651737</v>
      </c>
      <c r="G45" s="14">
        <v>82.874921961651722</v>
      </c>
      <c r="H45" s="14">
        <v>19.4392633308954</v>
      </c>
      <c r="I45" s="14">
        <v>14.582521434612339</v>
      </c>
      <c r="J45" s="14" t="s">
        <v>250</v>
      </c>
    </row>
    <row r="46" spans="1:10" ht="15.75" x14ac:dyDescent="0.5">
      <c r="A46" s="13" t="s">
        <v>254</v>
      </c>
      <c r="B46" s="13" t="s">
        <v>402</v>
      </c>
      <c r="C46" s="13" t="s">
        <v>400</v>
      </c>
      <c r="D46" s="14">
        <v>1072.9916742877465</v>
      </c>
      <c r="E46" s="14">
        <v>398.97258899823112</v>
      </c>
      <c r="F46" s="14">
        <v>203.65730996654113</v>
      </c>
      <c r="G46" s="14">
        <v>332.51795374745495</v>
      </c>
      <c r="H46" s="14">
        <v>274.31394854149647</v>
      </c>
      <c r="I46" s="14">
        <v>193.49836906988358</v>
      </c>
      <c r="J46" s="14">
        <v>162.0315067023574</v>
      </c>
    </row>
    <row r="47" spans="1:10" ht="15.75" x14ac:dyDescent="0.5">
      <c r="A47" s="13" t="s">
        <v>254</v>
      </c>
      <c r="B47" s="13" t="s">
        <v>403</v>
      </c>
      <c r="C47" s="13" t="s">
        <v>400</v>
      </c>
      <c r="D47" s="14" t="s">
        <v>250</v>
      </c>
      <c r="E47" s="14" t="s">
        <v>250</v>
      </c>
      <c r="F47" s="14">
        <v>17.42246978610131</v>
      </c>
      <c r="G47" s="14">
        <v>17.42246978610131</v>
      </c>
      <c r="H47" s="14">
        <v>3.4938107859828831</v>
      </c>
      <c r="I47" s="14">
        <v>3.4938107859828822</v>
      </c>
      <c r="J47" s="14" t="s">
        <v>250</v>
      </c>
    </row>
    <row r="48" spans="1:10" ht="15.75" x14ac:dyDescent="0.5">
      <c r="A48" s="13" t="s">
        <v>254</v>
      </c>
      <c r="B48" s="13" t="s">
        <v>404</v>
      </c>
      <c r="C48" s="13" t="s">
        <v>400</v>
      </c>
      <c r="D48" s="14" t="s">
        <v>250</v>
      </c>
      <c r="E48" s="14" t="s">
        <v>250</v>
      </c>
      <c r="F48" s="14" t="s">
        <v>250</v>
      </c>
      <c r="G48" s="14" t="s">
        <v>250</v>
      </c>
      <c r="H48" s="14" t="s">
        <v>250</v>
      </c>
      <c r="I48" s="14">
        <v>0.33069896914528535</v>
      </c>
      <c r="J48" s="14">
        <v>0.33069896914528529</v>
      </c>
    </row>
    <row r="49" spans="1:10" ht="15.75" x14ac:dyDescent="0.5">
      <c r="A49" s="13" t="s">
        <v>254</v>
      </c>
      <c r="B49" s="13" t="s">
        <v>405</v>
      </c>
      <c r="C49" s="13" t="s">
        <v>400</v>
      </c>
      <c r="D49" s="14">
        <v>1259.3891290889958</v>
      </c>
      <c r="E49" s="14">
        <v>1340.0700536464981</v>
      </c>
      <c r="F49" s="14">
        <v>1495.8885385536817</v>
      </c>
      <c r="G49" s="14">
        <v>1953.1311202660036</v>
      </c>
      <c r="H49" s="14">
        <v>2041.5265692501689</v>
      </c>
      <c r="I49" s="14">
        <v>1500.699786129675</v>
      </c>
      <c r="J49" s="14">
        <v>1319.290228615788</v>
      </c>
    </row>
    <row r="50" spans="1:10" ht="15.75" x14ac:dyDescent="0.5">
      <c r="A50" s="13" t="s">
        <v>254</v>
      </c>
      <c r="B50" s="13" t="s">
        <v>406</v>
      </c>
      <c r="C50" s="13" t="s">
        <v>400</v>
      </c>
      <c r="D50" s="14">
        <v>23.479196814299328</v>
      </c>
      <c r="E50" s="14">
        <v>20.57038861579327</v>
      </c>
      <c r="F50" s="14">
        <v>42.79316143076236</v>
      </c>
      <c r="G50" s="14">
        <v>43.576551100997982</v>
      </c>
      <c r="H50" s="14">
        <v>44.569771712525949</v>
      </c>
      <c r="I50" s="14">
        <v>47.290498784980009</v>
      </c>
      <c r="J50" s="14">
        <v>46.961562013368834</v>
      </c>
    </row>
    <row r="51" spans="1:10" ht="15.75" x14ac:dyDescent="0.5">
      <c r="A51" s="13" t="s">
        <v>254</v>
      </c>
      <c r="B51" s="13" t="s">
        <v>407</v>
      </c>
      <c r="C51" s="13" t="s">
        <v>400</v>
      </c>
      <c r="D51" s="14" t="s">
        <v>250</v>
      </c>
      <c r="E51" s="14">
        <v>113.11906071458476</v>
      </c>
      <c r="F51" s="14">
        <v>65.040502145007167</v>
      </c>
      <c r="G51" s="14">
        <v>204.52877748594079</v>
      </c>
      <c r="H51" s="14">
        <v>103.35279819489534</v>
      </c>
      <c r="I51" s="14">
        <v>15.662062973226034</v>
      </c>
      <c r="J51" s="14">
        <v>29.997025144603398</v>
      </c>
    </row>
    <row r="52" spans="1:10" ht="15.75" x14ac:dyDescent="0.5">
      <c r="A52" s="13" t="s">
        <v>254</v>
      </c>
      <c r="B52" s="13" t="s">
        <v>408</v>
      </c>
      <c r="C52" s="13" t="s">
        <v>400</v>
      </c>
      <c r="D52" s="14">
        <v>46.892290321001234</v>
      </c>
      <c r="E52" s="14">
        <v>35.122226848392145</v>
      </c>
      <c r="F52" s="14">
        <v>32.25530190295062</v>
      </c>
      <c r="G52" s="14">
        <v>46.450568603646701</v>
      </c>
      <c r="H52" s="14">
        <v>45.006909828099253</v>
      </c>
      <c r="I52" s="14">
        <v>41.335783334681437</v>
      </c>
      <c r="J52" s="14">
        <v>41.944579374954017</v>
      </c>
    </row>
    <row r="53" spans="1:10" ht="15.75" x14ac:dyDescent="0.5">
      <c r="A53" s="13" t="s">
        <v>254</v>
      </c>
      <c r="B53" s="13" t="s">
        <v>409</v>
      </c>
      <c r="C53" s="13" t="s">
        <v>400</v>
      </c>
      <c r="D53" s="14">
        <v>18.365704270000034</v>
      </c>
      <c r="E53" s="14">
        <v>18.365704270000037</v>
      </c>
      <c r="F53" s="14">
        <v>18.36570427000003</v>
      </c>
      <c r="G53" s="14">
        <v>18.365704270000037</v>
      </c>
      <c r="H53" s="14">
        <v>18.365704270000034</v>
      </c>
      <c r="I53" s="14">
        <v>18.36570427000003</v>
      </c>
      <c r="J53" s="14">
        <v>18.365704270000034</v>
      </c>
    </row>
    <row r="54" spans="1:10" ht="15.75" x14ac:dyDescent="0.5">
      <c r="A54" s="13" t="s">
        <v>254</v>
      </c>
      <c r="B54" s="13" t="s">
        <v>410</v>
      </c>
      <c r="C54" s="13" t="s">
        <v>400</v>
      </c>
      <c r="D54" s="14">
        <v>245.79356253202209</v>
      </c>
      <c r="E54" s="14">
        <v>245.14311691025918</v>
      </c>
      <c r="F54" s="14">
        <v>246.12445039394581</v>
      </c>
      <c r="G54" s="14">
        <v>246.14973280241281</v>
      </c>
      <c r="H54" s="14">
        <v>246.07483345963925</v>
      </c>
      <c r="I54" s="14">
        <v>246.02628240825237</v>
      </c>
      <c r="J54" s="14">
        <v>246.04227230167751</v>
      </c>
    </row>
    <row r="55" spans="1:10" ht="15.75" x14ac:dyDescent="0.5">
      <c r="A55" s="13" t="s">
        <v>254</v>
      </c>
      <c r="B55" s="13" t="s">
        <v>411</v>
      </c>
      <c r="C55" s="13" t="s">
        <v>400</v>
      </c>
      <c r="D55" s="14">
        <v>7.1394000000000197</v>
      </c>
      <c r="E55" s="14">
        <v>6.3676873309285371</v>
      </c>
      <c r="F55" s="14">
        <v>1.9272000000000056</v>
      </c>
      <c r="G55" s="14">
        <v>1.9272000000000056</v>
      </c>
      <c r="H55" s="14">
        <v>1.9272000000000058</v>
      </c>
      <c r="I55" s="14">
        <v>1.9272000000000056</v>
      </c>
      <c r="J55" s="14" t="s">
        <v>250</v>
      </c>
    </row>
    <row r="56" spans="1:10" ht="15.75" x14ac:dyDescent="0.5">
      <c r="A56" s="13" t="s">
        <v>254</v>
      </c>
      <c r="B56" s="13" t="s">
        <v>412</v>
      </c>
      <c r="C56" s="13" t="s">
        <v>400</v>
      </c>
      <c r="D56" s="14">
        <v>760.72545968400152</v>
      </c>
      <c r="E56" s="14">
        <v>749.94524923171059</v>
      </c>
      <c r="F56" s="14">
        <v>642.82812632712341</v>
      </c>
      <c r="G56" s="14">
        <v>717.15124234924463</v>
      </c>
      <c r="H56" s="14">
        <v>868.21387027442552</v>
      </c>
      <c r="I56" s="14">
        <v>1380.9261108828596</v>
      </c>
      <c r="J56" s="14">
        <v>1990.2617202927736</v>
      </c>
    </row>
    <row r="57" spans="1:10" ht="15.75" x14ac:dyDescent="0.5">
      <c r="A57" s="13" t="s">
        <v>254</v>
      </c>
      <c r="B57" s="13" t="s">
        <v>413</v>
      </c>
      <c r="C57" s="13" t="s">
        <v>400</v>
      </c>
      <c r="D57" s="14">
        <v>23.702927619886133</v>
      </c>
      <c r="E57" s="14">
        <v>20.425434922405117</v>
      </c>
      <c r="F57" s="14">
        <v>5.898279788859913</v>
      </c>
      <c r="G57" s="14">
        <v>3.3971757764623591</v>
      </c>
      <c r="H57" s="14">
        <v>1.3075368511700753</v>
      </c>
      <c r="I57" s="14">
        <v>0.81993075384170611</v>
      </c>
      <c r="J57" s="14">
        <v>0.57849525489321929</v>
      </c>
    </row>
    <row r="58" spans="1:10" ht="15.75" x14ac:dyDescent="0.5">
      <c r="A58" s="13" t="s">
        <v>254</v>
      </c>
      <c r="B58" s="13" t="s">
        <v>414</v>
      </c>
      <c r="C58" s="13" t="s">
        <v>400</v>
      </c>
      <c r="D58" s="14">
        <v>0.68039077051095032</v>
      </c>
      <c r="E58" s="14">
        <v>24.088891780416809</v>
      </c>
      <c r="F58" s="14">
        <v>94.640648352454846</v>
      </c>
      <c r="G58" s="14">
        <v>188.63770035913072</v>
      </c>
      <c r="H58" s="14">
        <v>228.20508399874339</v>
      </c>
      <c r="I58" s="14">
        <v>228.78237863511143</v>
      </c>
      <c r="J58" s="14">
        <v>229.19473194680347</v>
      </c>
    </row>
    <row r="59" spans="1:10" ht="15.75" x14ac:dyDescent="0.5">
      <c r="A59" s="13" t="s">
        <v>254</v>
      </c>
      <c r="B59" s="13" t="s">
        <v>415</v>
      </c>
      <c r="C59" s="13" t="s">
        <v>400</v>
      </c>
      <c r="D59" s="14">
        <v>440.53124483255561</v>
      </c>
      <c r="E59" s="14">
        <v>870.85529875705606</v>
      </c>
      <c r="F59" s="14">
        <v>1352.6765855295275</v>
      </c>
      <c r="G59" s="14">
        <v>1412.715055275343</v>
      </c>
      <c r="H59" s="14">
        <v>1935.3734148502933</v>
      </c>
      <c r="I59" s="14">
        <v>2754.0509107374673</v>
      </c>
      <c r="J59" s="14">
        <v>2768.9804987001212</v>
      </c>
    </row>
    <row r="60" spans="1:10" ht="15.75" x14ac:dyDescent="0.5">
      <c r="A60" s="13" t="s">
        <v>254</v>
      </c>
      <c r="B60" s="13" t="s">
        <v>416</v>
      </c>
      <c r="C60" s="13" t="s">
        <v>400</v>
      </c>
      <c r="D60" s="14" t="s">
        <v>250</v>
      </c>
      <c r="E60" s="14">
        <v>54.174742594980962</v>
      </c>
      <c r="F60" s="14">
        <v>66.675949052097465</v>
      </c>
      <c r="G60" s="14">
        <v>76.801435170202083</v>
      </c>
      <c r="H60" s="14">
        <v>77.990654991853702</v>
      </c>
      <c r="I60" s="14">
        <v>82.683057309487637</v>
      </c>
      <c r="J60" s="14">
        <v>94.727837483420942</v>
      </c>
    </row>
    <row r="61" spans="1:10" ht="15.75" x14ac:dyDescent="0.5">
      <c r="A61" s="13" t="s">
        <v>254</v>
      </c>
      <c r="B61" s="13" t="s">
        <v>417</v>
      </c>
      <c r="C61" s="13" t="s">
        <v>400</v>
      </c>
      <c r="D61" s="14">
        <v>187.48709633408686</v>
      </c>
      <c r="E61" s="14">
        <v>302.90772208192971</v>
      </c>
      <c r="F61" s="14">
        <v>345.6356190957174</v>
      </c>
      <c r="G61" s="14">
        <v>419.74174574923518</v>
      </c>
      <c r="H61" s="14">
        <v>1030.7181997040377</v>
      </c>
      <c r="I61" s="14">
        <v>1491.9122519669736</v>
      </c>
      <c r="J61" s="14">
        <v>1553.8927930307723</v>
      </c>
    </row>
    <row r="62" spans="1:10" ht="15.75" x14ac:dyDescent="0.5">
      <c r="A62" s="13" t="s">
        <v>254</v>
      </c>
      <c r="B62" s="13" t="s">
        <v>418</v>
      </c>
      <c r="C62" s="13" t="s">
        <v>400</v>
      </c>
      <c r="D62" s="14">
        <v>3.1841751731019539</v>
      </c>
      <c r="E62" s="14">
        <v>3.184175173101953</v>
      </c>
      <c r="F62" s="14">
        <v>3.1841751731019525</v>
      </c>
      <c r="G62" s="14">
        <v>3.1841751731019539</v>
      </c>
      <c r="H62" s="14">
        <v>3.1841751731019534</v>
      </c>
      <c r="I62" s="14">
        <v>3.1841751731019534</v>
      </c>
      <c r="J62" s="14">
        <v>3.1841751731019539</v>
      </c>
    </row>
    <row r="63" spans="1:10" ht="15.75" x14ac:dyDescent="0.5">
      <c r="A63" s="13" t="s">
        <v>254</v>
      </c>
      <c r="B63" s="13" t="s">
        <v>419</v>
      </c>
      <c r="C63" s="13" t="s">
        <v>400</v>
      </c>
      <c r="D63" s="14">
        <v>0.54465920264079504</v>
      </c>
      <c r="E63" s="14">
        <v>8.2321457420089956</v>
      </c>
      <c r="F63" s="14">
        <v>19.314823581705436</v>
      </c>
      <c r="G63" s="14">
        <v>32.850184803776983</v>
      </c>
      <c r="H63" s="14">
        <v>66.848368701076467</v>
      </c>
      <c r="I63" s="14">
        <v>199.4044262265009</v>
      </c>
      <c r="J63" s="14">
        <v>179.78893989362106</v>
      </c>
    </row>
    <row r="64" spans="1:10" ht="15.75" x14ac:dyDescent="0.5">
      <c r="A64" s="13" t="s">
        <v>254</v>
      </c>
      <c r="B64" s="13" t="s">
        <v>420</v>
      </c>
      <c r="C64" s="13" t="s">
        <v>400</v>
      </c>
      <c r="D64" s="14">
        <v>-13.987252957808376</v>
      </c>
      <c r="E64" s="14">
        <v>-13.791832899108586</v>
      </c>
      <c r="F64" s="14">
        <v>-13.589804268012166</v>
      </c>
      <c r="G64" s="14">
        <v>-13.283223643878674</v>
      </c>
      <c r="H64" s="14">
        <v>-12.294963011322935</v>
      </c>
      <c r="I64" s="14">
        <v>-15.203450044673202</v>
      </c>
      <c r="J64" s="14">
        <v>-17.089942612083842</v>
      </c>
    </row>
    <row r="65" spans="1:10" ht="15.75" x14ac:dyDescent="0.5">
      <c r="A65" s="13" t="s">
        <v>255</v>
      </c>
      <c r="B65" s="13" t="s">
        <v>399</v>
      </c>
      <c r="C65" s="13" t="s">
        <v>400</v>
      </c>
      <c r="D65" s="14">
        <v>7.2499064625597889</v>
      </c>
      <c r="E65" s="14">
        <v>4.2389343065693544E-2</v>
      </c>
      <c r="F65" s="14">
        <v>0.51246000000000103</v>
      </c>
      <c r="G65" s="14">
        <v>1.5357922231428551</v>
      </c>
      <c r="H65" s="14">
        <v>0.77546166760282886</v>
      </c>
      <c r="I65" s="14">
        <v>0.83720863015778113</v>
      </c>
      <c r="J65" s="14">
        <v>1.7351798540146015</v>
      </c>
    </row>
    <row r="66" spans="1:10" ht="15.75" x14ac:dyDescent="0.5">
      <c r="A66" s="13" t="s">
        <v>255</v>
      </c>
      <c r="B66" s="13" t="s">
        <v>401</v>
      </c>
      <c r="C66" s="13" t="s">
        <v>400</v>
      </c>
      <c r="D66" s="14" t="s">
        <v>250</v>
      </c>
      <c r="E66" s="14" t="s">
        <v>250</v>
      </c>
      <c r="F66" s="14">
        <v>80.672453746656814</v>
      </c>
      <c r="G66" s="14">
        <v>80.672453746656814</v>
      </c>
      <c r="H66" s="14">
        <v>19.482850622944706</v>
      </c>
      <c r="I66" s="14">
        <v>15.067970521925565</v>
      </c>
      <c r="J66" s="14" t="s">
        <v>250</v>
      </c>
    </row>
    <row r="67" spans="1:10" ht="15.75" x14ac:dyDescent="0.5">
      <c r="A67" s="13" t="s">
        <v>255</v>
      </c>
      <c r="B67" s="13" t="s">
        <v>402</v>
      </c>
      <c r="C67" s="13" t="s">
        <v>400</v>
      </c>
      <c r="D67" s="14">
        <v>1072.9916742877469</v>
      </c>
      <c r="E67" s="14">
        <v>399.08994496642305</v>
      </c>
      <c r="F67" s="14">
        <v>205.73592515989225</v>
      </c>
      <c r="G67" s="14">
        <v>334.72234556810366</v>
      </c>
      <c r="H67" s="14">
        <v>274.61179862041553</v>
      </c>
      <c r="I67" s="14">
        <v>218.13895281061011</v>
      </c>
      <c r="J67" s="14">
        <v>243.71205171264563</v>
      </c>
    </row>
    <row r="68" spans="1:10" ht="15.75" x14ac:dyDescent="0.5">
      <c r="A68" s="13" t="s">
        <v>255</v>
      </c>
      <c r="B68" s="13" t="s">
        <v>403</v>
      </c>
      <c r="C68" s="13" t="s">
        <v>400</v>
      </c>
      <c r="D68" s="14" t="s">
        <v>250</v>
      </c>
      <c r="E68" s="14" t="s">
        <v>250</v>
      </c>
      <c r="F68" s="14">
        <v>15.410777712000034</v>
      </c>
      <c r="G68" s="14">
        <v>15.410777712000032</v>
      </c>
      <c r="H68" s="14">
        <v>3.0903966000000063</v>
      </c>
      <c r="I68" s="14">
        <v>3.0903966000000072</v>
      </c>
      <c r="J68" s="14" t="s">
        <v>250</v>
      </c>
    </row>
    <row r="69" spans="1:10" ht="15.75" x14ac:dyDescent="0.5">
      <c r="A69" s="13" t="s">
        <v>255</v>
      </c>
      <c r="B69" s="13" t="s">
        <v>404</v>
      </c>
      <c r="C69" s="13" t="s">
        <v>400</v>
      </c>
      <c r="D69" s="14" t="s">
        <v>250</v>
      </c>
      <c r="E69" s="14" t="s">
        <v>250</v>
      </c>
      <c r="F69" s="14" t="s">
        <v>250</v>
      </c>
      <c r="G69" s="14" t="s">
        <v>250</v>
      </c>
      <c r="H69" s="14" t="s">
        <v>250</v>
      </c>
      <c r="I69" s="14">
        <v>0.3306989691452854</v>
      </c>
      <c r="J69" s="14">
        <v>0.33069896914528535</v>
      </c>
    </row>
    <row r="70" spans="1:10" ht="15.75" x14ac:dyDescent="0.5">
      <c r="A70" s="13" t="s">
        <v>255</v>
      </c>
      <c r="B70" s="13" t="s">
        <v>421</v>
      </c>
      <c r="C70" s="13" t="s">
        <v>400</v>
      </c>
      <c r="D70" s="14" t="s">
        <v>250</v>
      </c>
      <c r="E70" s="14" t="s">
        <v>250</v>
      </c>
      <c r="F70" s="14" t="s">
        <v>250</v>
      </c>
      <c r="G70" s="14">
        <v>15.420029113729971</v>
      </c>
      <c r="H70" s="14">
        <v>41.563607317973663</v>
      </c>
      <c r="I70" s="14">
        <v>40.830212740410957</v>
      </c>
      <c r="J70" s="14">
        <v>6.5626748396800565</v>
      </c>
    </row>
    <row r="71" spans="1:10" ht="15.75" x14ac:dyDescent="0.5">
      <c r="A71" s="13" t="s">
        <v>255</v>
      </c>
      <c r="B71" s="13" t="s">
        <v>405</v>
      </c>
      <c r="C71" s="13" t="s">
        <v>400</v>
      </c>
      <c r="D71" s="14">
        <v>1259.3891290889951</v>
      </c>
      <c r="E71" s="14">
        <v>1342.0515528479316</v>
      </c>
      <c r="F71" s="14">
        <v>1496.6474220855748</v>
      </c>
      <c r="G71" s="14">
        <v>1942.1107058098678</v>
      </c>
      <c r="H71" s="14">
        <v>2107.9162229230797</v>
      </c>
      <c r="I71" s="14">
        <v>1949.913438402268</v>
      </c>
      <c r="J71" s="14">
        <v>2284.619135404424</v>
      </c>
    </row>
    <row r="72" spans="1:10" ht="15.75" x14ac:dyDescent="0.5">
      <c r="A72" s="13" t="s">
        <v>255</v>
      </c>
      <c r="B72" s="13" t="s">
        <v>406</v>
      </c>
      <c r="C72" s="13" t="s">
        <v>400</v>
      </c>
      <c r="D72" s="14">
        <v>23.479196814299332</v>
      </c>
      <c r="E72" s="14">
        <v>20.210475257537905</v>
      </c>
      <c r="F72" s="14">
        <v>42.589318765754328</v>
      </c>
      <c r="G72" s="14">
        <v>43.395741415760021</v>
      </c>
      <c r="H72" s="14">
        <v>42.991152655866841</v>
      </c>
      <c r="I72" s="14">
        <v>43.132046087156915</v>
      </c>
      <c r="J72" s="14">
        <v>43.801302358137995</v>
      </c>
    </row>
    <row r="73" spans="1:10" ht="15.75" x14ac:dyDescent="0.5">
      <c r="A73" s="13" t="s">
        <v>255</v>
      </c>
      <c r="B73" s="13" t="s">
        <v>407</v>
      </c>
      <c r="C73" s="13" t="s">
        <v>400</v>
      </c>
      <c r="D73" s="14" t="s">
        <v>250</v>
      </c>
      <c r="E73" s="14">
        <v>114.07603125813328</v>
      </c>
      <c r="F73" s="14">
        <v>70.150882088055369</v>
      </c>
      <c r="G73" s="14">
        <v>202.90814933178757</v>
      </c>
      <c r="H73" s="14">
        <v>109.76788451834059</v>
      </c>
      <c r="I73" s="14">
        <v>34.633776759693603</v>
      </c>
      <c r="J73" s="14">
        <v>62.154011255714558</v>
      </c>
    </row>
    <row r="74" spans="1:10" ht="15.75" x14ac:dyDescent="0.5">
      <c r="A74" s="13" t="s">
        <v>255</v>
      </c>
      <c r="B74" s="13" t="s">
        <v>408</v>
      </c>
      <c r="C74" s="13" t="s">
        <v>400</v>
      </c>
      <c r="D74" s="14">
        <v>46.892290321001241</v>
      </c>
      <c r="E74" s="14">
        <v>35.101095362748097</v>
      </c>
      <c r="F74" s="14">
        <v>32.200696854957229</v>
      </c>
      <c r="G74" s="14">
        <v>45.889741916696948</v>
      </c>
      <c r="H74" s="14">
        <v>44.723242512155302</v>
      </c>
      <c r="I74" s="14">
        <v>43.206289524887588</v>
      </c>
      <c r="J74" s="14">
        <v>45.290734721698797</v>
      </c>
    </row>
    <row r="75" spans="1:10" ht="15.75" x14ac:dyDescent="0.5">
      <c r="A75" s="13" t="s">
        <v>255</v>
      </c>
      <c r="B75" s="13" t="s">
        <v>409</v>
      </c>
      <c r="C75" s="13" t="s">
        <v>400</v>
      </c>
      <c r="D75" s="14">
        <v>18.365704270000037</v>
      </c>
      <c r="E75" s="14">
        <v>18.36570427000003</v>
      </c>
      <c r="F75" s="14">
        <v>18.365704270000034</v>
      </c>
      <c r="G75" s="14">
        <v>18.365704270000034</v>
      </c>
      <c r="H75" s="14">
        <v>18.365704270000037</v>
      </c>
      <c r="I75" s="14">
        <v>18.365704270000034</v>
      </c>
      <c r="J75" s="14">
        <v>18.365704270000037</v>
      </c>
    </row>
    <row r="76" spans="1:10" ht="15.75" x14ac:dyDescent="0.5">
      <c r="A76" s="13" t="s">
        <v>255</v>
      </c>
      <c r="B76" s="13" t="s">
        <v>410</v>
      </c>
      <c r="C76" s="13" t="s">
        <v>400</v>
      </c>
      <c r="D76" s="14">
        <v>245.79356253202218</v>
      </c>
      <c r="E76" s="14">
        <v>245.16854234207725</v>
      </c>
      <c r="F76" s="14">
        <v>246.11192605973838</v>
      </c>
      <c r="G76" s="14">
        <v>246.1497328024129</v>
      </c>
      <c r="H76" s="14">
        <v>246.07483345963925</v>
      </c>
      <c r="I76" s="14">
        <v>246.05158218956629</v>
      </c>
      <c r="J76" s="14">
        <v>246.16997594139099</v>
      </c>
    </row>
    <row r="77" spans="1:10" ht="15.75" x14ac:dyDescent="0.5">
      <c r="A77" s="13" t="s">
        <v>255</v>
      </c>
      <c r="B77" s="13" t="s">
        <v>411</v>
      </c>
      <c r="C77" s="13" t="s">
        <v>400</v>
      </c>
      <c r="D77" s="14">
        <v>7.139400000000018</v>
      </c>
      <c r="E77" s="14">
        <v>6.3630593078265267</v>
      </c>
      <c r="F77" s="14">
        <v>1.9272000000000049</v>
      </c>
      <c r="G77" s="14">
        <v>1.9272000000000054</v>
      </c>
      <c r="H77" s="14">
        <v>1.9272000000000054</v>
      </c>
      <c r="I77" s="14">
        <v>1.9272000000000054</v>
      </c>
      <c r="J77" s="14">
        <v>1.9272000000000054</v>
      </c>
    </row>
    <row r="78" spans="1:10" ht="15.75" x14ac:dyDescent="0.5">
      <c r="A78" s="13" t="s">
        <v>255</v>
      </c>
      <c r="B78" s="13" t="s">
        <v>412</v>
      </c>
      <c r="C78" s="13" t="s">
        <v>400</v>
      </c>
      <c r="D78" s="14">
        <v>760.72545968400186</v>
      </c>
      <c r="E78" s="14">
        <v>747.77771639318496</v>
      </c>
      <c r="F78" s="14">
        <v>634.96937028403374</v>
      </c>
      <c r="G78" s="14">
        <v>696.29498818340608</v>
      </c>
      <c r="H78" s="14">
        <v>695.52027436474702</v>
      </c>
      <c r="I78" s="14">
        <v>654.85787115503626</v>
      </c>
      <c r="J78" s="14">
        <v>670.50195520868704</v>
      </c>
    </row>
    <row r="79" spans="1:10" ht="15.75" x14ac:dyDescent="0.5">
      <c r="A79" s="13" t="s">
        <v>255</v>
      </c>
      <c r="B79" s="13" t="s">
        <v>413</v>
      </c>
      <c r="C79" s="13" t="s">
        <v>400</v>
      </c>
      <c r="D79" s="14">
        <v>23.702927619886136</v>
      </c>
      <c r="E79" s="14">
        <v>20.467674914764665</v>
      </c>
      <c r="F79" s="14">
        <v>5.8573009556412989</v>
      </c>
      <c r="G79" s="14">
        <v>2.6198201659758795</v>
      </c>
      <c r="H79" s="14">
        <v>1.1561669526703404</v>
      </c>
      <c r="I79" s="14">
        <v>0.74221316877056842</v>
      </c>
      <c r="J79" s="14">
        <v>0.59725970802919792</v>
      </c>
    </row>
    <row r="80" spans="1:10" ht="15.75" x14ac:dyDescent="0.5">
      <c r="A80" s="13" t="s">
        <v>255</v>
      </c>
      <c r="B80" s="13" t="s">
        <v>414</v>
      </c>
      <c r="C80" s="13" t="s">
        <v>400</v>
      </c>
      <c r="D80" s="14">
        <v>0.6803907705109502</v>
      </c>
      <c r="E80" s="14">
        <v>24.088891737351261</v>
      </c>
      <c r="F80" s="14">
        <v>94.611872877389487</v>
      </c>
      <c r="G80" s="14">
        <v>188.5522520918818</v>
      </c>
      <c r="H80" s="14">
        <v>228.10697798307046</v>
      </c>
      <c r="I80" s="14">
        <v>228.68398665562017</v>
      </c>
      <c r="J80" s="14">
        <v>229.09613570744202</v>
      </c>
    </row>
    <row r="81" spans="1:10" ht="15.75" x14ac:dyDescent="0.5">
      <c r="A81" s="13" t="s">
        <v>255</v>
      </c>
      <c r="B81" s="13" t="s">
        <v>415</v>
      </c>
      <c r="C81" s="13" t="s">
        <v>400</v>
      </c>
      <c r="D81" s="14">
        <v>440.53124483255544</v>
      </c>
      <c r="E81" s="14">
        <v>870.81150656868874</v>
      </c>
      <c r="F81" s="14">
        <v>1360.7190496210851</v>
      </c>
      <c r="G81" s="14">
        <v>1437.2545792162236</v>
      </c>
      <c r="H81" s="14">
        <v>1995.9583525933215</v>
      </c>
      <c r="I81" s="14">
        <v>2894.9028816463256</v>
      </c>
      <c r="J81" s="14">
        <v>2954.6941982774242</v>
      </c>
    </row>
    <row r="82" spans="1:10" ht="15.75" x14ac:dyDescent="0.5">
      <c r="A82" s="13" t="s">
        <v>255</v>
      </c>
      <c r="B82" s="13" t="s">
        <v>416</v>
      </c>
      <c r="C82" s="13" t="s">
        <v>400</v>
      </c>
      <c r="D82" s="14" t="s">
        <v>250</v>
      </c>
      <c r="E82" s="14">
        <v>54.17474259498097</v>
      </c>
      <c r="F82" s="14">
        <v>66.675949052097479</v>
      </c>
      <c r="G82" s="14">
        <v>76.801435170202126</v>
      </c>
      <c r="H82" s="14">
        <v>77.990654991853702</v>
      </c>
      <c r="I82" s="14">
        <v>82.683057309487666</v>
      </c>
      <c r="J82" s="14">
        <v>94.727837483421013</v>
      </c>
    </row>
    <row r="83" spans="1:10" ht="15.75" x14ac:dyDescent="0.5">
      <c r="A83" s="13" t="s">
        <v>255</v>
      </c>
      <c r="B83" s="13" t="s">
        <v>417</v>
      </c>
      <c r="C83" s="13" t="s">
        <v>400</v>
      </c>
      <c r="D83" s="14">
        <v>187.48709633408694</v>
      </c>
      <c r="E83" s="14">
        <v>302.99036902944346</v>
      </c>
      <c r="F83" s="14">
        <v>345.74548751324704</v>
      </c>
      <c r="G83" s="14">
        <v>419.42143547773776</v>
      </c>
      <c r="H83" s="14">
        <v>1035.892723603647</v>
      </c>
      <c r="I83" s="14">
        <v>1579.2027937696498</v>
      </c>
      <c r="J83" s="14">
        <v>1657.4801896899737</v>
      </c>
    </row>
    <row r="84" spans="1:10" ht="15.75" x14ac:dyDescent="0.5">
      <c r="A84" s="13" t="s">
        <v>255</v>
      </c>
      <c r="B84" s="13" t="s">
        <v>418</v>
      </c>
      <c r="C84" s="13" t="s">
        <v>400</v>
      </c>
      <c r="D84" s="14">
        <v>3.1841751731019534</v>
      </c>
      <c r="E84" s="14">
        <v>3.1841751731019534</v>
      </c>
      <c r="F84" s="14">
        <v>3.1841751731019534</v>
      </c>
      <c r="G84" s="14">
        <v>3.1841751731019539</v>
      </c>
      <c r="H84" s="14">
        <v>3.1841751731019534</v>
      </c>
      <c r="I84" s="14">
        <v>3.1841751731019534</v>
      </c>
      <c r="J84" s="14">
        <v>3.1841751731019534</v>
      </c>
    </row>
    <row r="85" spans="1:10" ht="15.75" x14ac:dyDescent="0.5">
      <c r="A85" s="13" t="s">
        <v>255</v>
      </c>
      <c r="B85" s="13" t="s">
        <v>419</v>
      </c>
      <c r="C85" s="13" t="s">
        <v>400</v>
      </c>
      <c r="D85" s="14">
        <v>0.54465920264079504</v>
      </c>
      <c r="E85" s="14">
        <v>8.3247260933770946</v>
      </c>
      <c r="F85" s="14">
        <v>20.340218092894922</v>
      </c>
      <c r="G85" s="14">
        <v>33.627470687182893</v>
      </c>
      <c r="H85" s="14">
        <v>76.319027322109719</v>
      </c>
      <c r="I85" s="14">
        <v>313.23827557803685</v>
      </c>
      <c r="J85" s="14">
        <v>277.33170956176525</v>
      </c>
    </row>
    <row r="86" spans="1:10" ht="15.75" x14ac:dyDescent="0.5">
      <c r="A86" s="13" t="s">
        <v>255</v>
      </c>
      <c r="B86" s="13" t="s">
        <v>420</v>
      </c>
      <c r="C86" s="13" t="s">
        <v>400</v>
      </c>
      <c r="D86" s="14">
        <v>-13.987252957808371</v>
      </c>
      <c r="E86" s="14">
        <v>-13.772283909172923</v>
      </c>
      <c r="F86" s="14">
        <v>-13.530291440393901</v>
      </c>
      <c r="G86" s="14">
        <v>-13.165152252231142</v>
      </c>
      <c r="H86" s="14">
        <v>-12.21400523246567</v>
      </c>
      <c r="I86" s="14">
        <v>-15.534113302860467</v>
      </c>
      <c r="J86" s="14">
        <v>-17.302802456995423</v>
      </c>
    </row>
    <row r="87" spans="1:10" ht="15.75" x14ac:dyDescent="0.5">
      <c r="A87" s="13" t="s">
        <v>256</v>
      </c>
      <c r="B87" s="13" t="s">
        <v>399</v>
      </c>
      <c r="C87" s="13" t="s">
        <v>400</v>
      </c>
      <c r="D87" s="14">
        <v>7.2499064625597889</v>
      </c>
      <c r="E87" s="14">
        <v>4.2389343065693544E-2</v>
      </c>
      <c r="F87" s="14">
        <v>0.51246000000000103</v>
      </c>
      <c r="G87" s="14">
        <v>1.5225446460609797</v>
      </c>
      <c r="H87" s="14">
        <v>0.73802711975200619</v>
      </c>
      <c r="I87" s="14">
        <v>0.88142890510949068</v>
      </c>
      <c r="J87" s="14">
        <v>1.7479210510948937</v>
      </c>
    </row>
    <row r="88" spans="1:10" ht="15.75" x14ac:dyDescent="0.5">
      <c r="A88" s="13" t="s">
        <v>256</v>
      </c>
      <c r="B88" s="13" t="s">
        <v>401</v>
      </c>
      <c r="C88" s="13" t="s">
        <v>400</v>
      </c>
      <c r="D88" s="14" t="s">
        <v>250</v>
      </c>
      <c r="E88" s="14" t="s">
        <v>250</v>
      </c>
      <c r="F88" s="14">
        <v>80.667323581950228</v>
      </c>
      <c r="G88" s="14">
        <v>80.667323581950257</v>
      </c>
      <c r="H88" s="14">
        <v>19.432747727250149</v>
      </c>
      <c r="I88" s="14">
        <v>14.991418468046243</v>
      </c>
      <c r="J88" s="14" t="s">
        <v>250</v>
      </c>
    </row>
    <row r="89" spans="1:10" ht="15.75" x14ac:dyDescent="0.5">
      <c r="A89" s="13" t="s">
        <v>256</v>
      </c>
      <c r="B89" s="13" t="s">
        <v>402</v>
      </c>
      <c r="C89" s="13" t="s">
        <v>400</v>
      </c>
      <c r="D89" s="14">
        <v>1072.9916742877467</v>
      </c>
      <c r="E89" s="14">
        <v>398.92283247754233</v>
      </c>
      <c r="F89" s="14">
        <v>205.63190946426886</v>
      </c>
      <c r="G89" s="14">
        <v>335.04830405525121</v>
      </c>
      <c r="H89" s="14">
        <v>274.53799800657151</v>
      </c>
      <c r="I89" s="14">
        <v>218.77178501410214</v>
      </c>
      <c r="J89" s="14">
        <v>243.14833097375327</v>
      </c>
    </row>
    <row r="90" spans="1:10" ht="15.75" x14ac:dyDescent="0.5">
      <c r="A90" s="13" t="s">
        <v>256</v>
      </c>
      <c r="B90" s="13" t="s">
        <v>403</v>
      </c>
      <c r="C90" s="13" t="s">
        <v>400</v>
      </c>
      <c r="D90" s="14" t="s">
        <v>250</v>
      </c>
      <c r="E90" s="14" t="s">
        <v>250</v>
      </c>
      <c r="F90" s="14">
        <v>15.410777712000034</v>
      </c>
      <c r="G90" s="14">
        <v>15.41077771200003</v>
      </c>
      <c r="H90" s="14">
        <v>3.0903966000000063</v>
      </c>
      <c r="I90" s="14">
        <v>3.0903966000000072</v>
      </c>
      <c r="J90" s="14" t="s">
        <v>250</v>
      </c>
    </row>
    <row r="91" spans="1:10" ht="15.75" x14ac:dyDescent="0.5">
      <c r="A91" s="13" t="s">
        <v>256</v>
      </c>
      <c r="B91" s="13" t="s">
        <v>404</v>
      </c>
      <c r="C91" s="13" t="s">
        <v>400</v>
      </c>
      <c r="D91" s="14" t="s">
        <v>250</v>
      </c>
      <c r="E91" s="14" t="s">
        <v>250</v>
      </c>
      <c r="F91" s="14" t="s">
        <v>250</v>
      </c>
      <c r="G91" s="14" t="s">
        <v>250</v>
      </c>
      <c r="H91" s="14" t="s">
        <v>250</v>
      </c>
      <c r="I91" s="14">
        <v>0.3306989691452854</v>
      </c>
      <c r="J91" s="14">
        <v>0.33069896914528529</v>
      </c>
    </row>
    <row r="92" spans="1:10" ht="15.75" x14ac:dyDescent="0.5">
      <c r="A92" s="13" t="s">
        <v>256</v>
      </c>
      <c r="B92" s="13" t="s">
        <v>421</v>
      </c>
      <c r="C92" s="13" t="s">
        <v>400</v>
      </c>
      <c r="D92" s="14" t="s">
        <v>250</v>
      </c>
      <c r="E92" s="14" t="s">
        <v>250</v>
      </c>
      <c r="F92" s="14" t="s">
        <v>250</v>
      </c>
      <c r="G92" s="14">
        <v>15.799882081686567</v>
      </c>
      <c r="H92" s="14">
        <v>42.587474360134912</v>
      </c>
      <c r="I92" s="14">
        <v>41.616697719144277</v>
      </c>
      <c r="J92" s="14">
        <v>6.7243380568634068</v>
      </c>
    </row>
    <row r="93" spans="1:10" ht="15.75" x14ac:dyDescent="0.5">
      <c r="A93" s="13" t="s">
        <v>256</v>
      </c>
      <c r="B93" s="13" t="s">
        <v>405</v>
      </c>
      <c r="C93" s="13" t="s">
        <v>400</v>
      </c>
      <c r="D93" s="14">
        <v>1259.389129088994</v>
      </c>
      <c r="E93" s="14">
        <v>1342.0251131205812</v>
      </c>
      <c r="F93" s="14">
        <v>1496.5178310676577</v>
      </c>
      <c r="G93" s="14">
        <v>1941.7947257044134</v>
      </c>
      <c r="H93" s="14">
        <v>2106.7991927402609</v>
      </c>
      <c r="I93" s="14">
        <v>1941.4217175842571</v>
      </c>
      <c r="J93" s="14">
        <v>2247.585377376482</v>
      </c>
    </row>
    <row r="94" spans="1:10" ht="15.75" x14ac:dyDescent="0.5">
      <c r="A94" s="13" t="s">
        <v>256</v>
      </c>
      <c r="B94" s="13" t="s">
        <v>406</v>
      </c>
      <c r="C94" s="13" t="s">
        <v>400</v>
      </c>
      <c r="D94" s="14">
        <v>23.479196814299332</v>
      </c>
      <c r="E94" s="14">
        <v>20.226479677983331</v>
      </c>
      <c r="F94" s="14">
        <v>42.567319543985263</v>
      </c>
      <c r="G94" s="14">
        <v>43.340623075608299</v>
      </c>
      <c r="H94" s="14">
        <v>42.964726163631653</v>
      </c>
      <c r="I94" s="14">
        <v>42.979273325672374</v>
      </c>
      <c r="J94" s="14">
        <v>43.53358372026311</v>
      </c>
    </row>
    <row r="95" spans="1:10" ht="15.75" x14ac:dyDescent="0.5">
      <c r="A95" s="13" t="s">
        <v>256</v>
      </c>
      <c r="B95" s="13" t="s">
        <v>407</v>
      </c>
      <c r="C95" s="13" t="s">
        <v>400</v>
      </c>
      <c r="D95" s="14" t="s">
        <v>250</v>
      </c>
      <c r="E95" s="14">
        <v>114.10213770603606</v>
      </c>
      <c r="F95" s="14">
        <v>69.937193626383674</v>
      </c>
      <c r="G95" s="14">
        <v>202.35568351423282</v>
      </c>
      <c r="H95" s="14">
        <v>109.74811580845818</v>
      </c>
      <c r="I95" s="14">
        <v>39.687556895064958</v>
      </c>
      <c r="J95" s="14">
        <v>59.101102839572484</v>
      </c>
    </row>
    <row r="96" spans="1:10" ht="15.75" x14ac:dyDescent="0.5">
      <c r="A96" s="13" t="s">
        <v>256</v>
      </c>
      <c r="B96" s="13" t="s">
        <v>408</v>
      </c>
      <c r="C96" s="13" t="s">
        <v>400</v>
      </c>
      <c r="D96" s="14">
        <v>46.892290321001219</v>
      </c>
      <c r="E96" s="14">
        <v>35.100633574704553</v>
      </c>
      <c r="F96" s="14">
        <v>32.217109827113987</v>
      </c>
      <c r="G96" s="14">
        <v>45.88432513444728</v>
      </c>
      <c r="H96" s="14">
        <v>44.739698250102819</v>
      </c>
      <c r="I96" s="14">
        <v>43.283978817174606</v>
      </c>
      <c r="J96" s="14">
        <v>45.09364235117819</v>
      </c>
    </row>
    <row r="97" spans="1:10" ht="15.75" x14ac:dyDescent="0.5">
      <c r="A97" s="13" t="s">
        <v>256</v>
      </c>
      <c r="B97" s="13" t="s">
        <v>409</v>
      </c>
      <c r="C97" s="13" t="s">
        <v>400</v>
      </c>
      <c r="D97" s="14">
        <v>18.365704270000034</v>
      </c>
      <c r="E97" s="14">
        <v>18.365704270000034</v>
      </c>
      <c r="F97" s="14">
        <v>18.36570427000003</v>
      </c>
      <c r="G97" s="14">
        <v>18.365704270000034</v>
      </c>
      <c r="H97" s="14">
        <v>18.36570427000003</v>
      </c>
      <c r="I97" s="14">
        <v>18.365704270000037</v>
      </c>
      <c r="J97" s="14">
        <v>18.365704270000037</v>
      </c>
    </row>
    <row r="98" spans="1:10" ht="15.75" x14ac:dyDescent="0.5">
      <c r="A98" s="13" t="s">
        <v>256</v>
      </c>
      <c r="B98" s="13" t="s">
        <v>410</v>
      </c>
      <c r="C98" s="13" t="s">
        <v>400</v>
      </c>
      <c r="D98" s="14">
        <v>245.79356253202226</v>
      </c>
      <c r="E98" s="14">
        <v>245.1687469227887</v>
      </c>
      <c r="F98" s="14">
        <v>246.10901890282025</v>
      </c>
      <c r="G98" s="14">
        <v>246.1497328024129</v>
      </c>
      <c r="H98" s="14">
        <v>246.07483345964062</v>
      </c>
      <c r="I98" s="14">
        <v>246.05473945450808</v>
      </c>
      <c r="J98" s="14">
        <v>246.16997594139099</v>
      </c>
    </row>
    <row r="99" spans="1:10" ht="15.75" x14ac:dyDescent="0.5">
      <c r="A99" s="13" t="s">
        <v>256</v>
      </c>
      <c r="B99" s="13" t="s">
        <v>411</v>
      </c>
      <c r="C99" s="13" t="s">
        <v>400</v>
      </c>
      <c r="D99" s="14">
        <v>7.139400000000018</v>
      </c>
      <c r="E99" s="14">
        <v>6.4888388971077324</v>
      </c>
      <c r="F99" s="14">
        <v>1.9272000000000051</v>
      </c>
      <c r="G99" s="14">
        <v>1.9272000000000054</v>
      </c>
      <c r="H99" s="14">
        <v>1.9272000000000051</v>
      </c>
      <c r="I99" s="14">
        <v>1.9272000000000056</v>
      </c>
      <c r="J99" s="14">
        <v>1.927200000000006</v>
      </c>
    </row>
    <row r="100" spans="1:10" ht="15.75" x14ac:dyDescent="0.5">
      <c r="A100" s="13" t="s">
        <v>256</v>
      </c>
      <c r="B100" s="13" t="s">
        <v>412</v>
      </c>
      <c r="C100" s="13" t="s">
        <v>400</v>
      </c>
      <c r="D100" s="14">
        <v>760.72545968400198</v>
      </c>
      <c r="E100" s="14">
        <v>747.76023392282593</v>
      </c>
      <c r="F100" s="14">
        <v>635.11131324803853</v>
      </c>
      <c r="G100" s="14">
        <v>696.51317443971868</v>
      </c>
      <c r="H100" s="14">
        <v>695.69727877303023</v>
      </c>
      <c r="I100" s="14">
        <v>662.95029884064525</v>
      </c>
      <c r="J100" s="14">
        <v>723.82811497337127</v>
      </c>
    </row>
    <row r="101" spans="1:10" ht="15.75" x14ac:dyDescent="0.5">
      <c r="A101" s="13" t="s">
        <v>256</v>
      </c>
      <c r="B101" s="13" t="s">
        <v>413</v>
      </c>
      <c r="C101" s="13" t="s">
        <v>400</v>
      </c>
      <c r="D101" s="14">
        <v>23.702927619886133</v>
      </c>
      <c r="E101" s="14">
        <v>20.45440002446032</v>
      </c>
      <c r="F101" s="14">
        <v>5.858777142722273</v>
      </c>
      <c r="G101" s="14">
        <v>2.6146548760520552</v>
      </c>
      <c r="H101" s="14">
        <v>1.1561669526703406</v>
      </c>
      <c r="I101" s="14">
        <v>0.73410385087242258</v>
      </c>
      <c r="J101" s="14">
        <v>0.59725970802919792</v>
      </c>
    </row>
    <row r="102" spans="1:10" ht="15.75" x14ac:dyDescent="0.5">
      <c r="A102" s="13" t="s">
        <v>256</v>
      </c>
      <c r="B102" s="13" t="s">
        <v>414</v>
      </c>
      <c r="C102" s="13" t="s">
        <v>400</v>
      </c>
      <c r="D102" s="14">
        <v>0.6803907705109502</v>
      </c>
      <c r="E102" s="14">
        <v>24.088891737351261</v>
      </c>
      <c r="F102" s="14">
        <v>94.611872877389487</v>
      </c>
      <c r="G102" s="14">
        <v>188.5522520918818</v>
      </c>
      <c r="H102" s="14">
        <v>228.10697798307041</v>
      </c>
      <c r="I102" s="14">
        <v>228.68398665562015</v>
      </c>
      <c r="J102" s="14">
        <v>229.0961357074419</v>
      </c>
    </row>
    <row r="103" spans="1:10" ht="15.75" x14ac:dyDescent="0.5">
      <c r="A103" s="13" t="s">
        <v>256</v>
      </c>
      <c r="B103" s="13" t="s">
        <v>415</v>
      </c>
      <c r="C103" s="13" t="s">
        <v>400</v>
      </c>
      <c r="D103" s="14">
        <v>440.53124483255567</v>
      </c>
      <c r="E103" s="14">
        <v>870.81150656868863</v>
      </c>
      <c r="F103" s="14">
        <v>1361.1006751841346</v>
      </c>
      <c r="G103" s="14">
        <v>1436.9035338592469</v>
      </c>
      <c r="H103" s="14">
        <v>1995.7242008687901</v>
      </c>
      <c r="I103" s="14">
        <v>2893.0769113950269</v>
      </c>
      <c r="J103" s="14">
        <v>2943.1095037613914</v>
      </c>
    </row>
    <row r="104" spans="1:10" ht="15.75" x14ac:dyDescent="0.5">
      <c r="A104" s="13" t="s">
        <v>256</v>
      </c>
      <c r="B104" s="13" t="s">
        <v>416</v>
      </c>
      <c r="C104" s="13" t="s">
        <v>400</v>
      </c>
      <c r="D104" s="14" t="s">
        <v>250</v>
      </c>
      <c r="E104" s="14">
        <v>54.174742594981005</v>
      </c>
      <c r="F104" s="14">
        <v>66.675949052097451</v>
      </c>
      <c r="G104" s="14">
        <v>76.801435170202112</v>
      </c>
      <c r="H104" s="14">
        <v>77.990654991853688</v>
      </c>
      <c r="I104" s="14">
        <v>82.683057309487651</v>
      </c>
      <c r="J104" s="14">
        <v>94.727837483420942</v>
      </c>
    </row>
    <row r="105" spans="1:10" ht="15.75" x14ac:dyDescent="0.5">
      <c r="A105" s="13" t="s">
        <v>256</v>
      </c>
      <c r="B105" s="13" t="s">
        <v>417</v>
      </c>
      <c r="C105" s="13" t="s">
        <v>400</v>
      </c>
      <c r="D105" s="14">
        <v>187.48709633408691</v>
      </c>
      <c r="E105" s="14">
        <v>302.99036902944357</v>
      </c>
      <c r="F105" s="14">
        <v>345.7454875132471</v>
      </c>
      <c r="G105" s="14">
        <v>420.05757734746288</v>
      </c>
      <c r="H105" s="14">
        <v>1035.8008938549549</v>
      </c>
      <c r="I105" s="14">
        <v>1571.3564518719368</v>
      </c>
      <c r="J105" s="14">
        <v>1644.6655839426751</v>
      </c>
    </row>
    <row r="106" spans="1:10" ht="15.75" x14ac:dyDescent="0.5">
      <c r="A106" s="13" t="s">
        <v>256</v>
      </c>
      <c r="B106" s="13" t="s">
        <v>418</v>
      </c>
      <c r="C106" s="13" t="s">
        <v>400</v>
      </c>
      <c r="D106" s="14">
        <v>3.1841751731019534</v>
      </c>
      <c r="E106" s="14">
        <v>3.1841751731019534</v>
      </c>
      <c r="F106" s="14">
        <v>3.1841751731019534</v>
      </c>
      <c r="G106" s="14">
        <v>3.1841751731019534</v>
      </c>
      <c r="H106" s="14">
        <v>3.184175173101953</v>
      </c>
      <c r="I106" s="14">
        <v>3.1841751731019539</v>
      </c>
      <c r="J106" s="14">
        <v>3.1841751731019534</v>
      </c>
    </row>
    <row r="107" spans="1:10" ht="15.75" x14ac:dyDescent="0.5">
      <c r="A107" s="13" t="s">
        <v>256</v>
      </c>
      <c r="B107" s="13" t="s">
        <v>419</v>
      </c>
      <c r="C107" s="13" t="s">
        <v>400</v>
      </c>
      <c r="D107" s="14">
        <v>0.54465920264079504</v>
      </c>
      <c r="E107" s="14">
        <v>8.3066083201906764</v>
      </c>
      <c r="F107" s="14">
        <v>20.29663501007547</v>
      </c>
      <c r="G107" s="14">
        <v>33.571709644015506</v>
      </c>
      <c r="H107" s="14">
        <v>76.666752212699905</v>
      </c>
      <c r="I107" s="14">
        <v>307.90390358414555</v>
      </c>
      <c r="J107" s="14">
        <v>268.46577937054701</v>
      </c>
    </row>
    <row r="108" spans="1:10" ht="15.75" x14ac:dyDescent="0.5">
      <c r="A108" s="13" t="s">
        <v>256</v>
      </c>
      <c r="B108" s="13" t="s">
        <v>420</v>
      </c>
      <c r="C108" s="13" t="s">
        <v>400</v>
      </c>
      <c r="D108" s="14">
        <v>-13.987252957808332</v>
      </c>
      <c r="E108" s="14">
        <v>-13.759290252886368</v>
      </c>
      <c r="F108" s="14">
        <v>-13.528391687080305</v>
      </c>
      <c r="G108" s="14">
        <v>-13.148706388870094</v>
      </c>
      <c r="H108" s="14">
        <v>-12.114435614435187</v>
      </c>
      <c r="I108" s="14">
        <v>-15.477470209335332</v>
      </c>
      <c r="J108" s="14">
        <v>-17.288427637832029</v>
      </c>
    </row>
    <row r="109" spans="1:10" ht="15.75" x14ac:dyDescent="0.5">
      <c r="A109" s="13" t="s">
        <v>257</v>
      </c>
      <c r="B109" s="13" t="s">
        <v>399</v>
      </c>
      <c r="C109" s="13" t="s">
        <v>400</v>
      </c>
      <c r="D109" s="14">
        <v>7.2499064625597889</v>
      </c>
      <c r="E109" s="14">
        <v>4.2389343065693544E-2</v>
      </c>
      <c r="F109" s="14">
        <v>0.51246000000000114</v>
      </c>
      <c r="G109" s="14">
        <v>1.8047845839416095</v>
      </c>
      <c r="H109" s="14">
        <v>1.0084248175182502</v>
      </c>
      <c r="I109" s="14">
        <v>0.21654000000000037</v>
      </c>
      <c r="J109" s="14">
        <v>0.5459088594787217</v>
      </c>
    </row>
    <row r="110" spans="1:10" ht="15.75" x14ac:dyDescent="0.5">
      <c r="A110" s="13" t="s">
        <v>257</v>
      </c>
      <c r="B110" s="13" t="s">
        <v>401</v>
      </c>
      <c r="C110" s="13" t="s">
        <v>400</v>
      </c>
      <c r="D110" s="14" t="s">
        <v>250</v>
      </c>
      <c r="E110" s="14" t="s">
        <v>250</v>
      </c>
      <c r="F110" s="14">
        <v>81.892084596949658</v>
      </c>
      <c r="G110" s="14">
        <v>81.892084596949658</v>
      </c>
      <c r="H110" s="14">
        <v>19.219124621298782</v>
      </c>
      <c r="I110" s="14">
        <v>14.367848911230658</v>
      </c>
      <c r="J110" s="14" t="s">
        <v>250</v>
      </c>
    </row>
    <row r="111" spans="1:10" ht="15.75" x14ac:dyDescent="0.5">
      <c r="A111" s="13" t="s">
        <v>257</v>
      </c>
      <c r="B111" s="13" t="s">
        <v>402</v>
      </c>
      <c r="C111" s="13" t="s">
        <v>400</v>
      </c>
      <c r="D111" s="14">
        <v>1072.9916742877467</v>
      </c>
      <c r="E111" s="14">
        <v>398.94173823724174</v>
      </c>
      <c r="F111" s="14">
        <v>204.82427566901293</v>
      </c>
      <c r="G111" s="14">
        <v>334.00281662267628</v>
      </c>
      <c r="H111" s="14">
        <v>275.39067728022695</v>
      </c>
      <c r="I111" s="14">
        <v>194.6569453422797</v>
      </c>
      <c r="J111" s="14">
        <v>163.1714895800342</v>
      </c>
    </row>
    <row r="112" spans="1:10" ht="15.75" x14ac:dyDescent="0.5">
      <c r="A112" s="13" t="s">
        <v>257</v>
      </c>
      <c r="B112" s="13" t="s">
        <v>403</v>
      </c>
      <c r="C112" s="13" t="s">
        <v>400</v>
      </c>
      <c r="D112" s="14" t="s">
        <v>250</v>
      </c>
      <c r="E112" s="14" t="s">
        <v>250</v>
      </c>
      <c r="F112" s="14">
        <v>15.410777712000028</v>
      </c>
      <c r="G112" s="14">
        <v>15.410777712000034</v>
      </c>
      <c r="H112" s="14">
        <v>3.0903966000000174</v>
      </c>
      <c r="I112" s="14">
        <v>3.0903966000000067</v>
      </c>
      <c r="J112" s="14" t="s">
        <v>250</v>
      </c>
    </row>
    <row r="113" spans="1:10" ht="15.75" x14ac:dyDescent="0.5">
      <c r="A113" s="13" t="s">
        <v>257</v>
      </c>
      <c r="B113" s="13" t="s">
        <v>404</v>
      </c>
      <c r="C113" s="13" t="s">
        <v>400</v>
      </c>
      <c r="D113" s="14" t="s">
        <v>250</v>
      </c>
      <c r="E113" s="14" t="s">
        <v>250</v>
      </c>
      <c r="F113" s="14" t="s">
        <v>250</v>
      </c>
      <c r="G113" s="14" t="s">
        <v>250</v>
      </c>
      <c r="H113" s="14" t="s">
        <v>250</v>
      </c>
      <c r="I113" s="14">
        <v>0.33069896914528518</v>
      </c>
      <c r="J113" s="14">
        <v>0.33069896914528513</v>
      </c>
    </row>
    <row r="114" spans="1:10" ht="15.75" x14ac:dyDescent="0.5">
      <c r="A114" s="13" t="s">
        <v>257</v>
      </c>
      <c r="B114" s="13" t="s">
        <v>421</v>
      </c>
      <c r="C114" s="13" t="s">
        <v>400</v>
      </c>
      <c r="D114" s="14" t="s">
        <v>250</v>
      </c>
      <c r="E114" s="14" t="s">
        <v>250</v>
      </c>
      <c r="F114" s="14" t="s">
        <v>250</v>
      </c>
      <c r="G114" s="14">
        <v>13.740362442450508</v>
      </c>
      <c r="H114" s="14">
        <v>37.036183573488927</v>
      </c>
      <c r="I114" s="14">
        <v>36.104368442054685</v>
      </c>
      <c r="J114" s="14">
        <v>5.8478184589719397</v>
      </c>
    </row>
    <row r="115" spans="1:10" ht="15.75" x14ac:dyDescent="0.5">
      <c r="A115" s="13" t="s">
        <v>257</v>
      </c>
      <c r="B115" s="13" t="s">
        <v>405</v>
      </c>
      <c r="C115" s="13" t="s">
        <v>400</v>
      </c>
      <c r="D115" s="14">
        <v>1259.3891290889944</v>
      </c>
      <c r="E115" s="14">
        <v>1340.0314019591194</v>
      </c>
      <c r="F115" s="14">
        <v>1497.3725471331595</v>
      </c>
      <c r="G115" s="14">
        <v>1940.5379068098573</v>
      </c>
      <c r="H115" s="14">
        <v>2008.9916779921689</v>
      </c>
      <c r="I115" s="14">
        <v>1464.8852266164249</v>
      </c>
      <c r="J115" s="14">
        <v>1308.465496764057</v>
      </c>
    </row>
    <row r="116" spans="1:10" ht="15.75" x14ac:dyDescent="0.5">
      <c r="A116" s="13" t="s">
        <v>257</v>
      </c>
      <c r="B116" s="13" t="s">
        <v>406</v>
      </c>
      <c r="C116" s="13" t="s">
        <v>400</v>
      </c>
      <c r="D116" s="14">
        <v>23.479196814299332</v>
      </c>
      <c r="E116" s="14">
        <v>20.562424464234656</v>
      </c>
      <c r="F116" s="14">
        <v>42.798740767532841</v>
      </c>
      <c r="G116" s="14">
        <v>43.519092124632223</v>
      </c>
      <c r="H116" s="14">
        <v>44.505898052038063</v>
      </c>
      <c r="I116" s="14">
        <v>47.281496953141747</v>
      </c>
      <c r="J116" s="14">
        <v>47.015750933846306</v>
      </c>
    </row>
    <row r="117" spans="1:10" ht="15.75" x14ac:dyDescent="0.5">
      <c r="A117" s="13" t="s">
        <v>257</v>
      </c>
      <c r="B117" s="13" t="s">
        <v>407</v>
      </c>
      <c r="C117" s="13" t="s">
        <v>400</v>
      </c>
      <c r="D117" s="14" t="s">
        <v>250</v>
      </c>
      <c r="E117" s="14">
        <v>113.13921370992539</v>
      </c>
      <c r="F117" s="14">
        <v>65.407652651295109</v>
      </c>
      <c r="G117" s="14">
        <v>204.78461083490839</v>
      </c>
      <c r="H117" s="14">
        <v>101.80186655618823</v>
      </c>
      <c r="I117" s="14">
        <v>15.661284675648393</v>
      </c>
      <c r="J117" s="14">
        <v>29.997025144603391</v>
      </c>
    </row>
    <row r="118" spans="1:10" ht="15.75" x14ac:dyDescent="0.5">
      <c r="A118" s="13" t="s">
        <v>257</v>
      </c>
      <c r="B118" s="13" t="s">
        <v>408</v>
      </c>
      <c r="C118" s="13" t="s">
        <v>400</v>
      </c>
      <c r="D118" s="14">
        <v>46.892290321001219</v>
      </c>
      <c r="E118" s="14">
        <v>35.120653128484761</v>
      </c>
      <c r="F118" s="14">
        <v>32.254290803967869</v>
      </c>
      <c r="G118" s="14">
        <v>46.45707785699998</v>
      </c>
      <c r="H118" s="14">
        <v>44.94668063611887</v>
      </c>
      <c r="I118" s="14">
        <v>41.285516526959789</v>
      </c>
      <c r="J118" s="14">
        <v>41.965880855054138</v>
      </c>
    </row>
    <row r="119" spans="1:10" ht="15.75" x14ac:dyDescent="0.5">
      <c r="A119" s="13" t="s">
        <v>257</v>
      </c>
      <c r="B119" s="13" t="s">
        <v>409</v>
      </c>
      <c r="C119" s="13" t="s">
        <v>400</v>
      </c>
      <c r="D119" s="14">
        <v>18.365704270000034</v>
      </c>
      <c r="E119" s="14">
        <v>18.365704270000034</v>
      </c>
      <c r="F119" s="14">
        <v>18.365704270000027</v>
      </c>
      <c r="G119" s="14">
        <v>18.365704270000034</v>
      </c>
      <c r="H119" s="14">
        <v>18.365704270000034</v>
      </c>
      <c r="I119" s="14">
        <v>18.365704270000034</v>
      </c>
      <c r="J119" s="14">
        <v>18.365704270000037</v>
      </c>
    </row>
    <row r="120" spans="1:10" ht="15.75" x14ac:dyDescent="0.5">
      <c r="A120" s="13" t="s">
        <v>257</v>
      </c>
      <c r="B120" s="13" t="s">
        <v>410</v>
      </c>
      <c r="C120" s="13" t="s">
        <v>400</v>
      </c>
      <c r="D120" s="14">
        <v>245.79356253202212</v>
      </c>
      <c r="E120" s="14">
        <v>245.13951218166252</v>
      </c>
      <c r="F120" s="14">
        <v>246.12445039394578</v>
      </c>
      <c r="G120" s="14">
        <v>246.14973280241284</v>
      </c>
      <c r="H120" s="14">
        <v>246.07483345963917</v>
      </c>
      <c r="I120" s="14">
        <v>246.05149467102603</v>
      </c>
      <c r="J120" s="14">
        <v>246.06188841744952</v>
      </c>
    </row>
    <row r="121" spans="1:10" ht="15.75" x14ac:dyDescent="0.5">
      <c r="A121" s="13" t="s">
        <v>257</v>
      </c>
      <c r="B121" s="13" t="s">
        <v>411</v>
      </c>
      <c r="C121" s="13" t="s">
        <v>400</v>
      </c>
      <c r="D121" s="14">
        <v>7.139400000000018</v>
      </c>
      <c r="E121" s="14">
        <v>6.3816419685538461</v>
      </c>
      <c r="F121" s="14">
        <v>1.9272000000000058</v>
      </c>
      <c r="G121" s="14">
        <v>1.9272000000000054</v>
      </c>
      <c r="H121" s="14">
        <v>1.9272000000000056</v>
      </c>
      <c r="I121" s="14">
        <v>1.9272000000000056</v>
      </c>
      <c r="J121" s="14" t="s">
        <v>250</v>
      </c>
    </row>
    <row r="122" spans="1:10" ht="15.75" x14ac:dyDescent="0.5">
      <c r="A122" s="13" t="s">
        <v>257</v>
      </c>
      <c r="B122" s="13" t="s">
        <v>412</v>
      </c>
      <c r="C122" s="13" t="s">
        <v>400</v>
      </c>
      <c r="D122" s="14">
        <v>760.72545968400152</v>
      </c>
      <c r="E122" s="14">
        <v>749.93790506531195</v>
      </c>
      <c r="F122" s="14">
        <v>642.80915727645038</v>
      </c>
      <c r="G122" s="14">
        <v>717.19308905533808</v>
      </c>
      <c r="H122" s="14">
        <v>867.40159338237902</v>
      </c>
      <c r="I122" s="14">
        <v>1383.3421908991527</v>
      </c>
      <c r="J122" s="14">
        <v>1995.930215738917</v>
      </c>
    </row>
    <row r="123" spans="1:10" ht="15.75" x14ac:dyDescent="0.5">
      <c r="A123" s="13" t="s">
        <v>257</v>
      </c>
      <c r="B123" s="13" t="s">
        <v>413</v>
      </c>
      <c r="C123" s="13" t="s">
        <v>400</v>
      </c>
      <c r="D123" s="14">
        <v>23.702927619886133</v>
      </c>
      <c r="E123" s="14">
        <v>20.448444302386818</v>
      </c>
      <c r="F123" s="14">
        <v>5.8525730018380386</v>
      </c>
      <c r="G123" s="14">
        <v>3.3858629255239316</v>
      </c>
      <c r="H123" s="14">
        <v>1.306558115215295</v>
      </c>
      <c r="I123" s="14">
        <v>0.81913534838009239</v>
      </c>
      <c r="J123" s="14">
        <v>0.58446172325869161</v>
      </c>
    </row>
    <row r="124" spans="1:10" ht="15.75" x14ac:dyDescent="0.5">
      <c r="A124" s="13" t="s">
        <v>257</v>
      </c>
      <c r="B124" s="13" t="s">
        <v>414</v>
      </c>
      <c r="C124" s="13" t="s">
        <v>400</v>
      </c>
      <c r="D124" s="14">
        <v>0.68039077051095032</v>
      </c>
      <c r="E124" s="14">
        <v>24.088891780416809</v>
      </c>
      <c r="F124" s="14">
        <v>94.642027237703203</v>
      </c>
      <c r="G124" s="14">
        <v>188.64005737316299</v>
      </c>
      <c r="H124" s="14">
        <v>228.20508399874339</v>
      </c>
      <c r="I124" s="14">
        <v>228.78237863511137</v>
      </c>
      <c r="J124" s="14">
        <v>229.1947319468035</v>
      </c>
    </row>
    <row r="125" spans="1:10" ht="15.75" x14ac:dyDescent="0.5">
      <c r="A125" s="13" t="s">
        <v>257</v>
      </c>
      <c r="B125" s="13" t="s">
        <v>415</v>
      </c>
      <c r="C125" s="13" t="s">
        <v>400</v>
      </c>
      <c r="D125" s="14">
        <v>440.5312448325555</v>
      </c>
      <c r="E125" s="14">
        <v>870.85529875705629</v>
      </c>
      <c r="F125" s="14">
        <v>1352.705736720518</v>
      </c>
      <c r="G125" s="14">
        <v>1412.6130904169584</v>
      </c>
      <c r="H125" s="14">
        <v>1934.4744165970405</v>
      </c>
      <c r="I125" s="14">
        <v>2752.6090750559324</v>
      </c>
      <c r="J125" s="14">
        <v>2768.0295206589435</v>
      </c>
    </row>
    <row r="126" spans="1:10" ht="15.75" x14ac:dyDescent="0.5">
      <c r="A126" s="13" t="s">
        <v>257</v>
      </c>
      <c r="B126" s="13" t="s">
        <v>416</v>
      </c>
      <c r="C126" s="13" t="s">
        <v>400</v>
      </c>
      <c r="D126" s="14" t="s">
        <v>250</v>
      </c>
      <c r="E126" s="14">
        <v>54.174742594980984</v>
      </c>
      <c r="F126" s="14">
        <v>66.675949052097494</v>
      </c>
      <c r="G126" s="14">
        <v>76.801435170202112</v>
      </c>
      <c r="H126" s="14">
        <v>77.990654991853717</v>
      </c>
      <c r="I126" s="14">
        <v>82.683057309487651</v>
      </c>
      <c r="J126" s="14">
        <v>94.727837483420899</v>
      </c>
    </row>
    <row r="127" spans="1:10" ht="15.75" x14ac:dyDescent="0.5">
      <c r="A127" s="13" t="s">
        <v>257</v>
      </c>
      <c r="B127" s="13" t="s">
        <v>417</v>
      </c>
      <c r="C127" s="13" t="s">
        <v>400</v>
      </c>
      <c r="D127" s="14">
        <v>187.48709633408697</v>
      </c>
      <c r="E127" s="14">
        <v>302.90772208192982</v>
      </c>
      <c r="F127" s="14">
        <v>345.63561909571723</v>
      </c>
      <c r="G127" s="14">
        <v>419.98074539514585</v>
      </c>
      <c r="H127" s="14">
        <v>1029.5403605608362</v>
      </c>
      <c r="I127" s="14">
        <v>1489.5349634887066</v>
      </c>
      <c r="J127" s="14">
        <v>1551.9921721084916</v>
      </c>
    </row>
    <row r="128" spans="1:10" ht="15.75" x14ac:dyDescent="0.5">
      <c r="A128" s="13" t="s">
        <v>257</v>
      </c>
      <c r="B128" s="13" t="s">
        <v>418</v>
      </c>
      <c r="C128" s="13" t="s">
        <v>400</v>
      </c>
      <c r="D128" s="14">
        <v>3.1841751731019534</v>
      </c>
      <c r="E128" s="14">
        <v>3.1841751731019534</v>
      </c>
      <c r="F128" s="14">
        <v>3.1841751731019539</v>
      </c>
      <c r="G128" s="14">
        <v>3.184175173101953</v>
      </c>
      <c r="H128" s="14">
        <v>3.184175173101953</v>
      </c>
      <c r="I128" s="14">
        <v>3.184175173101953</v>
      </c>
      <c r="J128" s="14">
        <v>3.1841751731019539</v>
      </c>
    </row>
    <row r="129" spans="1:10" ht="15.75" x14ac:dyDescent="0.5">
      <c r="A129" s="13" t="s">
        <v>257</v>
      </c>
      <c r="B129" s="13" t="s">
        <v>419</v>
      </c>
      <c r="C129" s="13" t="s">
        <v>400</v>
      </c>
      <c r="D129" s="14">
        <v>0.54465920264079504</v>
      </c>
      <c r="E129" s="14">
        <v>8.2339023623180907</v>
      </c>
      <c r="F129" s="14">
        <v>19.320093264943246</v>
      </c>
      <c r="G129" s="14">
        <v>32.816017800942035</v>
      </c>
      <c r="H129" s="14">
        <v>67.100891148920113</v>
      </c>
      <c r="I129" s="14">
        <v>198.54464316813886</v>
      </c>
      <c r="J129" s="14">
        <v>179.12287519903379</v>
      </c>
    </row>
    <row r="130" spans="1:10" ht="15.75" x14ac:dyDescent="0.5">
      <c r="A130" s="13" t="s">
        <v>257</v>
      </c>
      <c r="B130" s="13" t="s">
        <v>420</v>
      </c>
      <c r="C130" s="13" t="s">
        <v>400</v>
      </c>
      <c r="D130" s="14">
        <v>-13.987252957808343</v>
      </c>
      <c r="E130" s="14">
        <v>-13.790285275446346</v>
      </c>
      <c r="F130" s="14">
        <v>-13.595420056943254</v>
      </c>
      <c r="G130" s="14">
        <v>-13.326587511217692</v>
      </c>
      <c r="H130" s="14">
        <v>-12.331849987006207</v>
      </c>
      <c r="I130" s="14">
        <v>-15.205681688080755</v>
      </c>
      <c r="J130" s="14">
        <v>-17.134948031373533</v>
      </c>
    </row>
    <row r="131" spans="1:10" ht="15.75" x14ac:dyDescent="0.5">
      <c r="A131" s="13" t="s">
        <v>258</v>
      </c>
      <c r="B131" s="13" t="s">
        <v>399</v>
      </c>
      <c r="C131" s="13" t="s">
        <v>400</v>
      </c>
      <c r="D131" s="14">
        <v>7.2499064625597907</v>
      </c>
      <c r="E131" s="14">
        <v>4.2389343065693544E-2</v>
      </c>
      <c r="F131" s="14">
        <v>0.51246000000000114</v>
      </c>
      <c r="G131" s="14">
        <v>1.5505200000000032</v>
      </c>
      <c r="H131" s="14">
        <v>0.68835694638042855</v>
      </c>
      <c r="I131" s="14">
        <v>0.66374513868613261</v>
      </c>
      <c r="J131" s="14">
        <v>1.9507634396527775</v>
      </c>
    </row>
    <row r="132" spans="1:10" ht="15.75" x14ac:dyDescent="0.5">
      <c r="A132" s="13" t="s">
        <v>258</v>
      </c>
      <c r="B132" s="13" t="s">
        <v>401</v>
      </c>
      <c r="C132" s="13" t="s">
        <v>400</v>
      </c>
      <c r="D132" s="14" t="s">
        <v>250</v>
      </c>
      <c r="E132" s="14" t="s">
        <v>250</v>
      </c>
      <c r="F132" s="14">
        <v>75.241396582843379</v>
      </c>
      <c r="G132" s="14">
        <v>75.24139658284335</v>
      </c>
      <c r="H132" s="14">
        <v>17.159294724467991</v>
      </c>
      <c r="I132" s="14">
        <v>15.982806904299434</v>
      </c>
      <c r="J132" s="14" t="s">
        <v>250</v>
      </c>
    </row>
    <row r="133" spans="1:10" ht="15.75" x14ac:dyDescent="0.5">
      <c r="A133" s="13" t="s">
        <v>258</v>
      </c>
      <c r="B133" s="13" t="s">
        <v>402</v>
      </c>
      <c r="C133" s="13" t="s">
        <v>400</v>
      </c>
      <c r="D133" s="14">
        <v>1072.9916742877467</v>
      </c>
      <c r="E133" s="14">
        <v>401.49037321203735</v>
      </c>
      <c r="F133" s="14">
        <v>214.26785747987037</v>
      </c>
      <c r="G133" s="14">
        <v>346.29757298332044</v>
      </c>
      <c r="H133" s="14">
        <v>279.24857099393353</v>
      </c>
      <c r="I133" s="14">
        <v>165.86830050457269</v>
      </c>
      <c r="J133" s="14">
        <v>252.64708405706719</v>
      </c>
    </row>
    <row r="134" spans="1:10" ht="15.75" x14ac:dyDescent="0.5">
      <c r="A134" s="13" t="s">
        <v>258</v>
      </c>
      <c r="B134" s="13" t="s">
        <v>403</v>
      </c>
      <c r="C134" s="13" t="s">
        <v>400</v>
      </c>
      <c r="D134" s="14" t="s">
        <v>250</v>
      </c>
      <c r="E134" s="14" t="s">
        <v>250</v>
      </c>
      <c r="F134" s="14">
        <v>15.410777712000034</v>
      </c>
      <c r="G134" s="14">
        <v>15.41077771200003</v>
      </c>
      <c r="H134" s="14">
        <v>3.0903966000000072</v>
      </c>
      <c r="I134" s="14">
        <v>3.0903966000000072</v>
      </c>
      <c r="J134" s="14" t="s">
        <v>250</v>
      </c>
    </row>
    <row r="135" spans="1:10" ht="15.75" x14ac:dyDescent="0.5">
      <c r="A135" s="13" t="s">
        <v>258</v>
      </c>
      <c r="B135" s="13" t="s">
        <v>404</v>
      </c>
      <c r="C135" s="13" t="s">
        <v>400</v>
      </c>
      <c r="D135" s="14" t="s">
        <v>250</v>
      </c>
      <c r="E135" s="14" t="s">
        <v>250</v>
      </c>
      <c r="F135" s="14" t="s">
        <v>250</v>
      </c>
      <c r="G135" s="14" t="s">
        <v>250</v>
      </c>
      <c r="H135" s="14" t="s">
        <v>250</v>
      </c>
      <c r="I135" s="14">
        <v>0.33069896914528535</v>
      </c>
      <c r="J135" s="14">
        <v>0.33069896914528535</v>
      </c>
    </row>
    <row r="136" spans="1:10" ht="15.75" x14ac:dyDescent="0.5">
      <c r="A136" s="13" t="s">
        <v>258</v>
      </c>
      <c r="B136" s="13" t="s">
        <v>421</v>
      </c>
      <c r="C136" s="13" t="s">
        <v>400</v>
      </c>
      <c r="D136" s="14" t="s">
        <v>250</v>
      </c>
      <c r="E136" s="14" t="s">
        <v>250</v>
      </c>
      <c r="F136" s="14" t="s">
        <v>250</v>
      </c>
      <c r="G136" s="14">
        <v>473.13129562191574</v>
      </c>
      <c r="H136" s="14">
        <v>1270.4533024196789</v>
      </c>
      <c r="I136" s="14">
        <v>1260.4726415163716</v>
      </c>
      <c r="J136" s="14">
        <v>201.81639430864266</v>
      </c>
    </row>
    <row r="137" spans="1:10" ht="15.75" x14ac:dyDescent="0.5">
      <c r="A137" s="13" t="s">
        <v>258</v>
      </c>
      <c r="B137" s="13" t="s">
        <v>405</v>
      </c>
      <c r="C137" s="13" t="s">
        <v>400</v>
      </c>
      <c r="D137" s="14">
        <v>1259.3891290889953</v>
      </c>
      <c r="E137" s="14">
        <v>1339.4099504171631</v>
      </c>
      <c r="F137" s="14">
        <v>1482.051457606937</v>
      </c>
      <c r="G137" s="14">
        <v>1469.4603718849053</v>
      </c>
      <c r="H137" s="14">
        <v>950.42151317733135</v>
      </c>
      <c r="I137" s="14">
        <v>894.99566138679802</v>
      </c>
      <c r="J137" s="14">
        <v>2162.0896046004527</v>
      </c>
    </row>
    <row r="138" spans="1:10" ht="15.75" x14ac:dyDescent="0.5">
      <c r="A138" s="13" t="s">
        <v>258</v>
      </c>
      <c r="B138" s="13" t="s">
        <v>406</v>
      </c>
      <c r="C138" s="13" t="s">
        <v>400</v>
      </c>
      <c r="D138" s="14">
        <v>23.479196814299332</v>
      </c>
      <c r="E138" s="14">
        <v>20.028715376890815</v>
      </c>
      <c r="F138" s="14">
        <v>42.858689278661664</v>
      </c>
      <c r="G138" s="14">
        <v>43.647765230514459</v>
      </c>
      <c r="H138" s="14">
        <v>43.271792982078054</v>
      </c>
      <c r="I138" s="14">
        <v>46.381040462216717</v>
      </c>
      <c r="J138" s="14">
        <v>46.143907726550616</v>
      </c>
    </row>
    <row r="139" spans="1:10" ht="15.75" x14ac:dyDescent="0.5">
      <c r="A139" s="13" t="s">
        <v>258</v>
      </c>
      <c r="B139" s="13" t="s">
        <v>407</v>
      </c>
      <c r="C139" s="13" t="s">
        <v>400</v>
      </c>
      <c r="D139" s="14" t="s">
        <v>250</v>
      </c>
      <c r="E139" s="14">
        <v>113.64556975116075</v>
      </c>
      <c r="F139" s="14">
        <v>80.164077319723617</v>
      </c>
      <c r="G139" s="14">
        <v>210.68611513572867</v>
      </c>
      <c r="H139" s="14">
        <v>106.60091366852984</v>
      </c>
      <c r="I139" s="14">
        <v>35.378604252464328</v>
      </c>
      <c r="J139" s="14">
        <v>62.414291981640496</v>
      </c>
    </row>
    <row r="140" spans="1:10" ht="15.75" x14ac:dyDescent="0.5">
      <c r="A140" s="13" t="s">
        <v>258</v>
      </c>
      <c r="B140" s="13" t="s">
        <v>408</v>
      </c>
      <c r="C140" s="13" t="s">
        <v>400</v>
      </c>
      <c r="D140" s="14">
        <v>46.892290321001227</v>
      </c>
      <c r="E140" s="14">
        <v>35.158761143489627</v>
      </c>
      <c r="F140" s="14">
        <v>32.376513197514576</v>
      </c>
      <c r="G140" s="14">
        <v>45.695895836860402</v>
      </c>
      <c r="H140" s="14">
        <v>43.509547631762373</v>
      </c>
      <c r="I140" s="14">
        <v>40.329225015555664</v>
      </c>
      <c r="J140" s="14">
        <v>44.43930625089321</v>
      </c>
    </row>
    <row r="141" spans="1:10" ht="15.75" x14ac:dyDescent="0.5">
      <c r="A141" s="13" t="s">
        <v>258</v>
      </c>
      <c r="B141" s="13" t="s">
        <v>409</v>
      </c>
      <c r="C141" s="13" t="s">
        <v>400</v>
      </c>
      <c r="D141" s="14">
        <v>18.365704270000034</v>
      </c>
      <c r="E141" s="14">
        <v>18.36570427000003</v>
      </c>
      <c r="F141" s="14">
        <v>18.36570427000003</v>
      </c>
      <c r="G141" s="14">
        <v>18.365704270000037</v>
      </c>
      <c r="H141" s="14">
        <v>18.36570427000003</v>
      </c>
      <c r="I141" s="14">
        <v>18.29911924822024</v>
      </c>
      <c r="J141" s="14">
        <v>18.365704270000034</v>
      </c>
    </row>
    <row r="142" spans="1:10" ht="15.75" x14ac:dyDescent="0.5">
      <c r="A142" s="13" t="s">
        <v>258</v>
      </c>
      <c r="B142" s="13" t="s">
        <v>410</v>
      </c>
      <c r="C142" s="13" t="s">
        <v>400</v>
      </c>
      <c r="D142" s="14">
        <v>245.79356253202215</v>
      </c>
      <c r="E142" s="14">
        <v>245.16463146465023</v>
      </c>
      <c r="F142" s="14">
        <v>246.12445039394575</v>
      </c>
      <c r="G142" s="14">
        <v>246.14973280241287</v>
      </c>
      <c r="H142" s="14">
        <v>246.07483345963922</v>
      </c>
      <c r="I142" s="14">
        <v>246.05158218956635</v>
      </c>
      <c r="J142" s="14">
        <v>246.16997594139087</v>
      </c>
    </row>
    <row r="143" spans="1:10" ht="15.75" x14ac:dyDescent="0.5">
      <c r="A143" s="13" t="s">
        <v>258</v>
      </c>
      <c r="B143" s="13" t="s">
        <v>411</v>
      </c>
      <c r="C143" s="13" t="s">
        <v>400</v>
      </c>
      <c r="D143" s="14">
        <v>7.139400000000018</v>
      </c>
      <c r="E143" s="14">
        <v>6.2121135766423494</v>
      </c>
      <c r="F143" s="14">
        <v>1.9272000000000056</v>
      </c>
      <c r="G143" s="14">
        <v>1.9272000000000051</v>
      </c>
      <c r="H143" s="14">
        <v>1.9272000000000058</v>
      </c>
      <c r="I143" s="14">
        <v>1.9272000000000049</v>
      </c>
      <c r="J143" s="14">
        <v>1.9272000000000054</v>
      </c>
    </row>
    <row r="144" spans="1:10" ht="15.75" x14ac:dyDescent="0.5">
      <c r="A144" s="13" t="s">
        <v>258</v>
      </c>
      <c r="B144" s="13" t="s">
        <v>412</v>
      </c>
      <c r="C144" s="13" t="s">
        <v>400</v>
      </c>
      <c r="D144" s="14">
        <v>760.72545968400186</v>
      </c>
      <c r="E144" s="14">
        <v>747.65855922788637</v>
      </c>
      <c r="F144" s="14">
        <v>635.91430796308839</v>
      </c>
      <c r="G144" s="14">
        <v>696.3237814353447</v>
      </c>
      <c r="H144" s="14">
        <v>695.82010837025496</v>
      </c>
      <c r="I144" s="14">
        <v>651.69112589990493</v>
      </c>
      <c r="J144" s="14">
        <v>673.90810869270479</v>
      </c>
    </row>
    <row r="145" spans="1:10" ht="15.75" x14ac:dyDescent="0.5">
      <c r="A145" s="13" t="s">
        <v>258</v>
      </c>
      <c r="B145" s="13" t="s">
        <v>413</v>
      </c>
      <c r="C145" s="13" t="s">
        <v>400</v>
      </c>
      <c r="D145" s="14">
        <v>23.702927619886129</v>
      </c>
      <c r="E145" s="14">
        <v>20.623501090901161</v>
      </c>
      <c r="F145" s="14">
        <v>5.9357857872330282</v>
      </c>
      <c r="G145" s="14">
        <v>2.6295039599032726</v>
      </c>
      <c r="H145" s="14">
        <v>1.1621844899266449</v>
      </c>
      <c r="I145" s="14">
        <v>0.67185484152364017</v>
      </c>
      <c r="J145" s="14">
        <v>0.69846175182481862</v>
      </c>
    </row>
    <row r="146" spans="1:10" ht="15.75" x14ac:dyDescent="0.5">
      <c r="A146" s="13" t="s">
        <v>258</v>
      </c>
      <c r="B146" s="13" t="s">
        <v>414</v>
      </c>
      <c r="C146" s="13" t="s">
        <v>400</v>
      </c>
      <c r="D146" s="14">
        <v>0.6803907705109502</v>
      </c>
      <c r="E146" s="14">
        <v>24.088891780416816</v>
      </c>
      <c r="F146" s="14">
        <v>94.612983301182879</v>
      </c>
      <c r="G146" s="14">
        <v>188.55526943811748</v>
      </c>
      <c r="H146" s="14">
        <v>228.11000667982483</v>
      </c>
      <c r="I146" s="14">
        <v>228.68702418055591</v>
      </c>
      <c r="J146" s="14">
        <v>229.09917953822145</v>
      </c>
    </row>
    <row r="147" spans="1:10" ht="15.75" x14ac:dyDescent="0.5">
      <c r="A147" s="13" t="s">
        <v>258</v>
      </c>
      <c r="B147" s="13" t="s">
        <v>415</v>
      </c>
      <c r="C147" s="13" t="s">
        <v>400</v>
      </c>
      <c r="D147" s="14">
        <v>440.53124483255561</v>
      </c>
      <c r="E147" s="14">
        <v>870.81150682199814</v>
      </c>
      <c r="F147" s="14">
        <v>1359.4675685591476</v>
      </c>
      <c r="G147" s="14">
        <v>1437.5293023038032</v>
      </c>
      <c r="H147" s="14">
        <v>1968.9880525980338</v>
      </c>
      <c r="I147" s="14">
        <v>2821.6801262434328</v>
      </c>
      <c r="J147" s="14">
        <v>2899.1474801996542</v>
      </c>
    </row>
    <row r="148" spans="1:10" ht="15.75" x14ac:dyDescent="0.5">
      <c r="A148" s="13" t="s">
        <v>258</v>
      </c>
      <c r="B148" s="13" t="s">
        <v>416</v>
      </c>
      <c r="C148" s="13" t="s">
        <v>400</v>
      </c>
      <c r="D148" s="14" t="s">
        <v>250</v>
      </c>
      <c r="E148" s="14">
        <v>54.174742594980991</v>
      </c>
      <c r="F148" s="14">
        <v>66.675949052097508</v>
      </c>
      <c r="G148" s="14">
        <v>76.80143517020214</v>
      </c>
      <c r="H148" s="14">
        <v>77.990654991853731</v>
      </c>
      <c r="I148" s="14">
        <v>82.683057309487637</v>
      </c>
      <c r="J148" s="14">
        <v>94.727837483420998</v>
      </c>
    </row>
    <row r="149" spans="1:10" ht="15.75" x14ac:dyDescent="0.5">
      <c r="A149" s="13" t="s">
        <v>258</v>
      </c>
      <c r="B149" s="13" t="s">
        <v>417</v>
      </c>
      <c r="C149" s="13" t="s">
        <v>400</v>
      </c>
      <c r="D149" s="14">
        <v>187.487096334087</v>
      </c>
      <c r="E149" s="14">
        <v>302.9224043013362</v>
      </c>
      <c r="F149" s="14">
        <v>345.65513720570863</v>
      </c>
      <c r="G149" s="14">
        <v>421.35677996946436</v>
      </c>
      <c r="H149" s="14">
        <v>1000.4240990553495</v>
      </c>
      <c r="I149" s="14">
        <v>1531.9365153281133</v>
      </c>
      <c r="J149" s="14">
        <v>1611.1918224663093</v>
      </c>
    </row>
    <row r="150" spans="1:10" ht="15.75" x14ac:dyDescent="0.5">
      <c r="A150" s="13" t="s">
        <v>258</v>
      </c>
      <c r="B150" s="13" t="s">
        <v>418</v>
      </c>
      <c r="C150" s="13" t="s">
        <v>400</v>
      </c>
      <c r="D150" s="14">
        <v>3.1841751731019539</v>
      </c>
      <c r="E150" s="14">
        <v>3.1841751731019534</v>
      </c>
      <c r="F150" s="14">
        <v>3.1841751731019534</v>
      </c>
      <c r="G150" s="14">
        <v>3.184175173101953</v>
      </c>
      <c r="H150" s="14">
        <v>3.1841751731019539</v>
      </c>
      <c r="I150" s="14">
        <v>3.1841751731019534</v>
      </c>
      <c r="J150" s="14">
        <v>3.1841751731019534</v>
      </c>
    </row>
    <row r="151" spans="1:10" ht="15.75" x14ac:dyDescent="0.5">
      <c r="A151" s="13" t="s">
        <v>258</v>
      </c>
      <c r="B151" s="13" t="s">
        <v>419</v>
      </c>
      <c r="C151" s="13" t="s">
        <v>400</v>
      </c>
      <c r="D151" s="14">
        <v>0.54465920264079493</v>
      </c>
      <c r="E151" s="14">
        <v>8.29495108592862</v>
      </c>
      <c r="F151" s="14">
        <v>20.496407604669816</v>
      </c>
      <c r="G151" s="14">
        <v>33.635053217038752</v>
      </c>
      <c r="H151" s="14">
        <v>73.682496468903921</v>
      </c>
      <c r="I151" s="14">
        <v>270.43499836634481</v>
      </c>
      <c r="J151" s="14">
        <v>243.11287104308045</v>
      </c>
    </row>
    <row r="152" spans="1:10" ht="15.75" x14ac:dyDescent="0.5">
      <c r="A152" s="13" t="s">
        <v>258</v>
      </c>
      <c r="B152" s="13" t="s">
        <v>420</v>
      </c>
      <c r="C152" s="13" t="s">
        <v>400</v>
      </c>
      <c r="D152" s="14">
        <v>-13.987252957808437</v>
      </c>
      <c r="E152" s="14">
        <v>-13.674489577947666</v>
      </c>
      <c r="F152" s="14">
        <v>-13.554342625382439</v>
      </c>
      <c r="G152" s="14">
        <v>-13.386496201360522</v>
      </c>
      <c r="H152" s="14">
        <v>-13.61282071907652</v>
      </c>
      <c r="I152" s="14">
        <v>-17.037338918136665</v>
      </c>
      <c r="J152" s="14">
        <v>-16.934165792243398</v>
      </c>
    </row>
    <row r="153" spans="1:10" ht="15.75" x14ac:dyDescent="0.5">
      <c r="A153" s="13" t="s">
        <v>259</v>
      </c>
      <c r="B153" s="13" t="s">
        <v>399</v>
      </c>
      <c r="C153" s="13" t="s">
        <v>400</v>
      </c>
      <c r="D153" s="14">
        <v>7.2499064625597898</v>
      </c>
      <c r="E153" s="14">
        <v>4.2389343065693544E-2</v>
      </c>
      <c r="F153" s="14">
        <v>0.51246000000000103</v>
      </c>
      <c r="G153" s="14">
        <v>1.5505200000000032</v>
      </c>
      <c r="H153" s="14">
        <v>0.81346231276576497</v>
      </c>
      <c r="I153" s="14">
        <v>0.66222884087305312</v>
      </c>
      <c r="J153" s="14">
        <v>1.8622825627823036</v>
      </c>
    </row>
    <row r="154" spans="1:10" ht="15.75" x14ac:dyDescent="0.5">
      <c r="A154" s="13" t="s">
        <v>259</v>
      </c>
      <c r="B154" s="13" t="s">
        <v>401</v>
      </c>
      <c r="C154" s="13" t="s">
        <v>400</v>
      </c>
      <c r="D154" s="14" t="s">
        <v>250</v>
      </c>
      <c r="E154" s="14" t="s">
        <v>250</v>
      </c>
      <c r="F154" s="14">
        <v>75.247889445254927</v>
      </c>
      <c r="G154" s="14">
        <v>75.247889445254941</v>
      </c>
      <c r="H154" s="14">
        <v>17.40151368158422</v>
      </c>
      <c r="I154" s="14">
        <v>15.949941691867032</v>
      </c>
      <c r="J154" s="14" t="s">
        <v>250</v>
      </c>
    </row>
    <row r="155" spans="1:10" ht="15.75" x14ac:dyDescent="0.5">
      <c r="A155" s="13" t="s">
        <v>259</v>
      </c>
      <c r="B155" s="13" t="s">
        <v>402</v>
      </c>
      <c r="C155" s="13" t="s">
        <v>400</v>
      </c>
      <c r="D155" s="14">
        <v>1072.9916742877469</v>
      </c>
      <c r="E155" s="14">
        <v>401.64290325400475</v>
      </c>
      <c r="F155" s="14">
        <v>214.17930260650434</v>
      </c>
      <c r="G155" s="14">
        <v>346.59145038612496</v>
      </c>
      <c r="H155" s="14">
        <v>278.70015522140653</v>
      </c>
      <c r="I155" s="14">
        <v>161.89297141690969</v>
      </c>
      <c r="J155" s="14">
        <v>253.07378887040133</v>
      </c>
    </row>
    <row r="156" spans="1:10" ht="15.75" x14ac:dyDescent="0.5">
      <c r="A156" s="13" t="s">
        <v>259</v>
      </c>
      <c r="B156" s="13" t="s">
        <v>403</v>
      </c>
      <c r="C156" s="13" t="s">
        <v>400</v>
      </c>
      <c r="D156" s="14" t="s">
        <v>250</v>
      </c>
      <c r="E156" s="14" t="s">
        <v>250</v>
      </c>
      <c r="F156" s="14">
        <v>15.410777712000034</v>
      </c>
      <c r="G156" s="14">
        <v>15.410777712000032</v>
      </c>
      <c r="H156" s="14">
        <v>3.090396600000008</v>
      </c>
      <c r="I156" s="14">
        <v>3.0903966000000072</v>
      </c>
      <c r="J156" s="14" t="s">
        <v>250</v>
      </c>
    </row>
    <row r="157" spans="1:10" ht="15.75" x14ac:dyDescent="0.5">
      <c r="A157" s="13" t="s">
        <v>259</v>
      </c>
      <c r="B157" s="13" t="s">
        <v>404</v>
      </c>
      <c r="C157" s="13" t="s">
        <v>400</v>
      </c>
      <c r="D157" s="14" t="s">
        <v>250</v>
      </c>
      <c r="E157" s="14" t="s">
        <v>250</v>
      </c>
      <c r="F157" s="14" t="s">
        <v>250</v>
      </c>
      <c r="G157" s="14" t="s">
        <v>250</v>
      </c>
      <c r="H157" s="14" t="s">
        <v>250</v>
      </c>
      <c r="I157" s="14">
        <v>0.3306989691452854</v>
      </c>
      <c r="J157" s="14">
        <v>0.33069896914528529</v>
      </c>
    </row>
    <row r="158" spans="1:10" ht="15.75" x14ac:dyDescent="0.5">
      <c r="A158" s="13" t="s">
        <v>259</v>
      </c>
      <c r="B158" s="13" t="s">
        <v>421</v>
      </c>
      <c r="C158" s="13" t="s">
        <v>400</v>
      </c>
      <c r="D158" s="14" t="s">
        <v>250</v>
      </c>
      <c r="E158" s="14" t="s">
        <v>250</v>
      </c>
      <c r="F158" s="14" t="s">
        <v>250</v>
      </c>
      <c r="G158" s="14">
        <v>474.12251384207912</v>
      </c>
      <c r="H158" s="14">
        <v>1272.7688303939783</v>
      </c>
      <c r="I158" s="14">
        <v>1263.4985289502956</v>
      </c>
      <c r="J158" s="14">
        <v>202.38718733852238</v>
      </c>
    </row>
    <row r="159" spans="1:10" ht="15.75" x14ac:dyDescent="0.5">
      <c r="A159" s="13" t="s">
        <v>259</v>
      </c>
      <c r="B159" s="13" t="s">
        <v>405</v>
      </c>
      <c r="C159" s="13" t="s">
        <v>400</v>
      </c>
      <c r="D159" s="14">
        <v>1259.3891290889956</v>
      </c>
      <c r="E159" s="14">
        <v>1339.2796415796452</v>
      </c>
      <c r="F159" s="14">
        <v>1481.2611747198412</v>
      </c>
      <c r="G159" s="14">
        <v>1468.247125708559</v>
      </c>
      <c r="H159" s="14">
        <v>949.90737756097315</v>
      </c>
      <c r="I159" s="14">
        <v>891.84672306286609</v>
      </c>
      <c r="J159" s="14">
        <v>2125.3219008913184</v>
      </c>
    </row>
    <row r="160" spans="1:10" ht="15.75" x14ac:dyDescent="0.5">
      <c r="A160" s="13" t="s">
        <v>259</v>
      </c>
      <c r="B160" s="13" t="s">
        <v>406</v>
      </c>
      <c r="C160" s="13" t="s">
        <v>400</v>
      </c>
      <c r="D160" s="14">
        <v>23.479196814299325</v>
      </c>
      <c r="E160" s="14">
        <v>20.030897588578782</v>
      </c>
      <c r="F160" s="14">
        <v>42.856512303147682</v>
      </c>
      <c r="G160" s="14">
        <v>43.632171567493913</v>
      </c>
      <c r="H160" s="14">
        <v>43.231839484072125</v>
      </c>
      <c r="I160" s="14">
        <v>46.375690381753238</v>
      </c>
      <c r="J160" s="14">
        <v>46.179792281528044</v>
      </c>
    </row>
    <row r="161" spans="1:10" ht="15.75" x14ac:dyDescent="0.5">
      <c r="A161" s="13" t="s">
        <v>259</v>
      </c>
      <c r="B161" s="13" t="s">
        <v>407</v>
      </c>
      <c r="C161" s="13" t="s">
        <v>400</v>
      </c>
      <c r="D161" s="14" t="s">
        <v>250</v>
      </c>
      <c r="E161" s="14">
        <v>113.63258242615584</v>
      </c>
      <c r="F161" s="14">
        <v>80.561862843199165</v>
      </c>
      <c r="G161" s="14">
        <v>210.85100053058497</v>
      </c>
      <c r="H161" s="14">
        <v>105.50990994336863</v>
      </c>
      <c r="I161" s="14">
        <v>38.426060481707509</v>
      </c>
      <c r="J161" s="14">
        <v>59.829372571272437</v>
      </c>
    </row>
    <row r="162" spans="1:10" ht="15.75" x14ac:dyDescent="0.5">
      <c r="A162" s="13" t="s">
        <v>259</v>
      </c>
      <c r="B162" s="13" t="s">
        <v>408</v>
      </c>
      <c r="C162" s="13" t="s">
        <v>400</v>
      </c>
      <c r="D162" s="14">
        <v>46.892290321001205</v>
      </c>
      <c r="E162" s="14">
        <v>35.166589193499817</v>
      </c>
      <c r="F162" s="14">
        <v>32.398981066423623</v>
      </c>
      <c r="G162" s="14">
        <v>45.704460843149853</v>
      </c>
      <c r="H162" s="14">
        <v>43.345611885785722</v>
      </c>
      <c r="I162" s="14">
        <v>40.46400339816563</v>
      </c>
      <c r="J162" s="14">
        <v>44.704071021234704</v>
      </c>
    </row>
    <row r="163" spans="1:10" ht="15.75" x14ac:dyDescent="0.5">
      <c r="A163" s="13" t="s">
        <v>259</v>
      </c>
      <c r="B163" s="13" t="s">
        <v>409</v>
      </c>
      <c r="C163" s="13" t="s">
        <v>400</v>
      </c>
      <c r="D163" s="14">
        <v>18.365704270000034</v>
      </c>
      <c r="E163" s="14">
        <v>18.36570427000003</v>
      </c>
      <c r="F163" s="14">
        <v>18.365704270000034</v>
      </c>
      <c r="G163" s="14">
        <v>18.365704270000037</v>
      </c>
      <c r="H163" s="14">
        <v>18.365704270000034</v>
      </c>
      <c r="I163" s="14">
        <v>18.299119248220244</v>
      </c>
      <c r="J163" s="14">
        <v>18.365704270000034</v>
      </c>
    </row>
    <row r="164" spans="1:10" ht="15.75" x14ac:dyDescent="0.5">
      <c r="A164" s="13" t="s">
        <v>259</v>
      </c>
      <c r="B164" s="13" t="s">
        <v>410</v>
      </c>
      <c r="C164" s="13" t="s">
        <v>400</v>
      </c>
      <c r="D164" s="14">
        <v>245.79356253202215</v>
      </c>
      <c r="E164" s="14">
        <v>245.16045813721081</v>
      </c>
      <c r="F164" s="14">
        <v>246.12445039394578</v>
      </c>
      <c r="G164" s="14">
        <v>246.14973280241279</v>
      </c>
      <c r="H164" s="14">
        <v>246.07483345963919</v>
      </c>
      <c r="I164" s="14">
        <v>246.05158218956618</v>
      </c>
      <c r="J164" s="14">
        <v>246.16997594139104</v>
      </c>
    </row>
    <row r="165" spans="1:10" ht="15.75" x14ac:dyDescent="0.5">
      <c r="A165" s="13" t="s">
        <v>259</v>
      </c>
      <c r="B165" s="13" t="s">
        <v>411</v>
      </c>
      <c r="C165" s="13" t="s">
        <v>400</v>
      </c>
      <c r="D165" s="14">
        <v>7.1394000000000153</v>
      </c>
      <c r="E165" s="14">
        <v>6.2121135766423503</v>
      </c>
      <c r="F165" s="14">
        <v>1.9272000000000054</v>
      </c>
      <c r="G165" s="14">
        <v>1.9272000000000056</v>
      </c>
      <c r="H165" s="14">
        <v>1.9272000000000054</v>
      </c>
      <c r="I165" s="14">
        <v>1.9272000000000056</v>
      </c>
      <c r="J165" s="14">
        <v>1.9272000000000049</v>
      </c>
    </row>
    <row r="166" spans="1:10" ht="15.75" x14ac:dyDescent="0.5">
      <c r="A166" s="13" t="s">
        <v>259</v>
      </c>
      <c r="B166" s="13" t="s">
        <v>412</v>
      </c>
      <c r="C166" s="13" t="s">
        <v>400</v>
      </c>
      <c r="D166" s="14">
        <v>760.72545968400186</v>
      </c>
      <c r="E166" s="14">
        <v>747.65837423777771</v>
      </c>
      <c r="F166" s="14">
        <v>635.69873926659568</v>
      </c>
      <c r="G166" s="14">
        <v>696.06051838218241</v>
      </c>
      <c r="H166" s="14">
        <v>695.52421538791236</v>
      </c>
      <c r="I166" s="14">
        <v>662.7180707500977</v>
      </c>
      <c r="J166" s="14">
        <v>727.61796204494203</v>
      </c>
    </row>
    <row r="167" spans="1:10" ht="15.75" x14ac:dyDescent="0.5">
      <c r="A167" s="13" t="s">
        <v>259</v>
      </c>
      <c r="B167" s="13" t="s">
        <v>413</v>
      </c>
      <c r="C167" s="13" t="s">
        <v>400</v>
      </c>
      <c r="D167" s="14">
        <v>23.702927619886129</v>
      </c>
      <c r="E167" s="14">
        <v>20.613130920499362</v>
      </c>
      <c r="F167" s="14">
        <v>5.9356020066225268</v>
      </c>
      <c r="G167" s="14">
        <v>2.6273252290588314</v>
      </c>
      <c r="H167" s="14">
        <v>1.1621844899266451</v>
      </c>
      <c r="I167" s="14">
        <v>0.67700698821440874</v>
      </c>
      <c r="J167" s="14">
        <v>0.7232623357664244</v>
      </c>
    </row>
    <row r="168" spans="1:10" ht="15.75" x14ac:dyDescent="0.5">
      <c r="A168" s="13" t="s">
        <v>259</v>
      </c>
      <c r="B168" s="13" t="s">
        <v>414</v>
      </c>
      <c r="C168" s="13" t="s">
        <v>400</v>
      </c>
      <c r="D168" s="14">
        <v>0.6803907705109502</v>
      </c>
      <c r="E168" s="14">
        <v>24.088891780416809</v>
      </c>
      <c r="F168" s="14">
        <v>94.61337378222683</v>
      </c>
      <c r="G168" s="14">
        <v>188.55633060137296</v>
      </c>
      <c r="H168" s="14">
        <v>228.11107183491708</v>
      </c>
      <c r="I168" s="14">
        <v>228.68809244040989</v>
      </c>
      <c r="J168" s="14">
        <v>229.10025001576244</v>
      </c>
    </row>
    <row r="169" spans="1:10" ht="15.75" x14ac:dyDescent="0.5">
      <c r="A169" s="13" t="s">
        <v>259</v>
      </c>
      <c r="B169" s="13" t="s">
        <v>415</v>
      </c>
      <c r="C169" s="13" t="s">
        <v>400</v>
      </c>
      <c r="D169" s="14">
        <v>440.53124483255561</v>
      </c>
      <c r="E169" s="14">
        <v>870.81150682199814</v>
      </c>
      <c r="F169" s="14">
        <v>1360.1614245930311</v>
      </c>
      <c r="G169" s="14">
        <v>1437.970378917491</v>
      </c>
      <c r="H169" s="14">
        <v>1966.661452467639</v>
      </c>
      <c r="I169" s="14">
        <v>2816.0735681047522</v>
      </c>
      <c r="J169" s="14">
        <v>2888.9706159436</v>
      </c>
    </row>
    <row r="170" spans="1:10" ht="15.75" x14ac:dyDescent="0.5">
      <c r="A170" s="13" t="s">
        <v>259</v>
      </c>
      <c r="B170" s="13" t="s">
        <v>416</v>
      </c>
      <c r="C170" s="13" t="s">
        <v>400</v>
      </c>
      <c r="D170" s="14" t="s">
        <v>250</v>
      </c>
      <c r="E170" s="14">
        <v>54.174742594980984</v>
      </c>
      <c r="F170" s="14">
        <v>66.675949052097494</v>
      </c>
      <c r="G170" s="14">
        <v>76.801435170202112</v>
      </c>
      <c r="H170" s="14">
        <v>77.990654991853731</v>
      </c>
      <c r="I170" s="14">
        <v>82.683057309487666</v>
      </c>
      <c r="J170" s="14">
        <v>94.727837483420927</v>
      </c>
    </row>
    <row r="171" spans="1:10" ht="15.75" x14ac:dyDescent="0.5">
      <c r="A171" s="13" t="s">
        <v>259</v>
      </c>
      <c r="B171" s="13" t="s">
        <v>417</v>
      </c>
      <c r="C171" s="13" t="s">
        <v>400</v>
      </c>
      <c r="D171" s="14">
        <v>187.48709633408691</v>
      </c>
      <c r="E171" s="14">
        <v>302.92240430133614</v>
      </c>
      <c r="F171" s="14">
        <v>345.6551372057084</v>
      </c>
      <c r="G171" s="14">
        <v>420.88141390131921</v>
      </c>
      <c r="H171" s="14">
        <v>1002.1126147796268</v>
      </c>
      <c r="I171" s="14">
        <v>1522.0665845553679</v>
      </c>
      <c r="J171" s="14">
        <v>1595.0171872164901</v>
      </c>
    </row>
    <row r="172" spans="1:10" ht="15.75" x14ac:dyDescent="0.5">
      <c r="A172" s="13" t="s">
        <v>259</v>
      </c>
      <c r="B172" s="13" t="s">
        <v>418</v>
      </c>
      <c r="C172" s="13" t="s">
        <v>400</v>
      </c>
      <c r="D172" s="14">
        <v>3.1841751731019539</v>
      </c>
      <c r="E172" s="14">
        <v>3.1841751731019534</v>
      </c>
      <c r="F172" s="14">
        <v>3.1841751731019539</v>
      </c>
      <c r="G172" s="14">
        <v>3.1841751731019539</v>
      </c>
      <c r="H172" s="14">
        <v>3.184175173101953</v>
      </c>
      <c r="I172" s="14">
        <v>3.1841751731019534</v>
      </c>
      <c r="J172" s="14">
        <v>3.1841751731019534</v>
      </c>
    </row>
    <row r="173" spans="1:10" ht="15.75" x14ac:dyDescent="0.5">
      <c r="A173" s="13" t="s">
        <v>259</v>
      </c>
      <c r="B173" s="13" t="s">
        <v>419</v>
      </c>
      <c r="C173" s="13" t="s">
        <v>400</v>
      </c>
      <c r="D173" s="14">
        <v>0.54465920264079504</v>
      </c>
      <c r="E173" s="14">
        <v>8.2913382350969265</v>
      </c>
      <c r="F173" s="14">
        <v>20.470651147083423</v>
      </c>
      <c r="G173" s="14">
        <v>33.561651794102012</v>
      </c>
      <c r="H173" s="14">
        <v>73.880767553944551</v>
      </c>
      <c r="I173" s="14">
        <v>264.74877049517397</v>
      </c>
      <c r="J173" s="14">
        <v>230.74997028502898</v>
      </c>
    </row>
    <row r="174" spans="1:10" ht="15.75" x14ac:dyDescent="0.5">
      <c r="A174" s="13" t="s">
        <v>259</v>
      </c>
      <c r="B174" s="13" t="s">
        <v>420</v>
      </c>
      <c r="C174" s="13" t="s">
        <v>400</v>
      </c>
      <c r="D174" s="14">
        <v>-13.987252957808316</v>
      </c>
      <c r="E174" s="14">
        <v>-13.668889075505017</v>
      </c>
      <c r="F174" s="14">
        <v>-13.588653341732158</v>
      </c>
      <c r="G174" s="14">
        <v>-13.382976959928202</v>
      </c>
      <c r="H174" s="14">
        <v>-13.591541476316729</v>
      </c>
      <c r="I174" s="14">
        <v>-17.014461650005117</v>
      </c>
      <c r="J174" s="14">
        <v>-16.8070916030617</v>
      </c>
    </row>
    <row r="175" spans="1:10" ht="15.75" x14ac:dyDescent="0.5">
      <c r="A175" s="13" t="s">
        <v>260</v>
      </c>
      <c r="B175" s="13" t="s">
        <v>399</v>
      </c>
      <c r="C175" s="13" t="s">
        <v>400</v>
      </c>
      <c r="D175" s="14">
        <v>7.2499064625597889</v>
      </c>
      <c r="E175" s="14">
        <v>4.2389343065693544E-2</v>
      </c>
      <c r="F175" s="14">
        <v>0.51246000000000114</v>
      </c>
      <c r="G175" s="14">
        <v>1.7478148646907921</v>
      </c>
      <c r="H175" s="14">
        <v>0.84271883211679022</v>
      </c>
      <c r="I175" s="14">
        <v>0.14112000000000025</v>
      </c>
      <c r="J175" s="14">
        <v>0.58387167216786773</v>
      </c>
    </row>
    <row r="176" spans="1:10" ht="15.75" x14ac:dyDescent="0.5">
      <c r="A176" s="13" t="s">
        <v>260</v>
      </c>
      <c r="B176" s="13" t="s">
        <v>401</v>
      </c>
      <c r="C176" s="13" t="s">
        <v>400</v>
      </c>
      <c r="D176" s="14" t="s">
        <v>250</v>
      </c>
      <c r="E176" s="14" t="s">
        <v>250</v>
      </c>
      <c r="F176" s="14">
        <v>76.692498763852299</v>
      </c>
      <c r="G176" s="14">
        <v>76.692498763852328</v>
      </c>
      <c r="H176" s="14">
        <v>17.659604427224597</v>
      </c>
      <c r="I176" s="14">
        <v>16.314779692599441</v>
      </c>
      <c r="J176" s="14" t="s">
        <v>250</v>
      </c>
    </row>
    <row r="177" spans="1:10" ht="15.75" x14ac:dyDescent="0.5">
      <c r="A177" s="13" t="s">
        <v>260</v>
      </c>
      <c r="B177" s="13" t="s">
        <v>402</v>
      </c>
      <c r="C177" s="13" t="s">
        <v>400</v>
      </c>
      <c r="D177" s="14">
        <v>1072.991674287746</v>
      </c>
      <c r="E177" s="14">
        <v>400.95360653905755</v>
      </c>
      <c r="F177" s="14">
        <v>213.1564639959455</v>
      </c>
      <c r="G177" s="14">
        <v>348.01002470434685</v>
      </c>
      <c r="H177" s="14">
        <v>285.7260249385883</v>
      </c>
      <c r="I177" s="14">
        <v>129.66465435429913</v>
      </c>
      <c r="J177" s="14">
        <v>188.97842678786628</v>
      </c>
    </row>
    <row r="178" spans="1:10" ht="15.75" x14ac:dyDescent="0.5">
      <c r="A178" s="13" t="s">
        <v>260</v>
      </c>
      <c r="B178" s="13" t="s">
        <v>403</v>
      </c>
      <c r="C178" s="13" t="s">
        <v>400</v>
      </c>
      <c r="D178" s="14" t="s">
        <v>250</v>
      </c>
      <c r="E178" s="14" t="s">
        <v>250</v>
      </c>
      <c r="F178" s="14">
        <v>15.41077771200003</v>
      </c>
      <c r="G178" s="14">
        <v>15.410777712000032</v>
      </c>
      <c r="H178" s="14">
        <v>3.0903966000000072</v>
      </c>
      <c r="I178" s="14">
        <v>3.0903966000000067</v>
      </c>
      <c r="J178" s="14" t="s">
        <v>250</v>
      </c>
    </row>
    <row r="179" spans="1:10" ht="15.75" x14ac:dyDescent="0.5">
      <c r="A179" s="13" t="s">
        <v>260</v>
      </c>
      <c r="B179" s="13" t="s">
        <v>404</v>
      </c>
      <c r="C179" s="13" t="s">
        <v>400</v>
      </c>
      <c r="D179" s="14" t="s">
        <v>250</v>
      </c>
      <c r="E179" s="14" t="s">
        <v>250</v>
      </c>
      <c r="F179" s="14" t="s">
        <v>250</v>
      </c>
      <c r="G179" s="14" t="s">
        <v>250</v>
      </c>
      <c r="H179" s="14" t="s">
        <v>250</v>
      </c>
      <c r="I179" s="14">
        <v>0.33069896914528535</v>
      </c>
      <c r="J179" s="14">
        <v>0.33069896914528529</v>
      </c>
    </row>
    <row r="180" spans="1:10" ht="15.75" x14ac:dyDescent="0.5">
      <c r="A180" s="13" t="s">
        <v>260</v>
      </c>
      <c r="B180" s="13" t="s">
        <v>421</v>
      </c>
      <c r="C180" s="13" t="s">
        <v>400</v>
      </c>
      <c r="D180" s="14" t="s">
        <v>250</v>
      </c>
      <c r="E180" s="14" t="s">
        <v>250</v>
      </c>
      <c r="F180" s="14" t="s">
        <v>250</v>
      </c>
      <c r="G180" s="14">
        <v>410.82711417973076</v>
      </c>
      <c r="H180" s="14">
        <v>1107.6523161676209</v>
      </c>
      <c r="I180" s="14">
        <v>1055.0302007271264</v>
      </c>
      <c r="J180" s="14">
        <v>183.69337786909742</v>
      </c>
    </row>
    <row r="181" spans="1:10" ht="15.75" x14ac:dyDescent="0.5">
      <c r="A181" s="13" t="s">
        <v>260</v>
      </c>
      <c r="B181" s="13" t="s">
        <v>405</v>
      </c>
      <c r="C181" s="13" t="s">
        <v>400</v>
      </c>
      <c r="D181" s="14">
        <v>1259.3891290889956</v>
      </c>
      <c r="E181" s="14">
        <v>1338.2561866370436</v>
      </c>
      <c r="F181" s="14">
        <v>1484.5245226932227</v>
      </c>
      <c r="G181" s="14">
        <v>1523.1884142359772</v>
      </c>
      <c r="H181" s="14">
        <v>1038.7260175638546</v>
      </c>
      <c r="I181" s="14">
        <v>778.29290953796317</v>
      </c>
      <c r="J181" s="14">
        <v>1306.7908869926898</v>
      </c>
    </row>
    <row r="182" spans="1:10" ht="15.75" x14ac:dyDescent="0.5">
      <c r="A182" s="13" t="s">
        <v>260</v>
      </c>
      <c r="B182" s="13" t="s">
        <v>406</v>
      </c>
      <c r="C182" s="13" t="s">
        <v>400</v>
      </c>
      <c r="D182" s="14">
        <v>23.479196814299332</v>
      </c>
      <c r="E182" s="14">
        <v>20.060147324457418</v>
      </c>
      <c r="F182" s="14">
        <v>43.051822485255236</v>
      </c>
      <c r="G182" s="14">
        <v>43.763834528087664</v>
      </c>
      <c r="H182" s="14">
        <v>45.051944285496354</v>
      </c>
      <c r="I182" s="14">
        <v>51.234018313171497</v>
      </c>
      <c r="J182" s="14">
        <v>51.0492877681069</v>
      </c>
    </row>
    <row r="183" spans="1:10" ht="15.75" x14ac:dyDescent="0.5">
      <c r="A183" s="13" t="s">
        <v>260</v>
      </c>
      <c r="B183" s="13" t="s">
        <v>407</v>
      </c>
      <c r="C183" s="13" t="s">
        <v>400</v>
      </c>
      <c r="D183" s="14" t="s">
        <v>250</v>
      </c>
      <c r="E183" s="14">
        <v>112.79084691268135</v>
      </c>
      <c r="F183" s="14">
        <v>73.769655020992815</v>
      </c>
      <c r="G183" s="14">
        <v>212.95619953368174</v>
      </c>
      <c r="H183" s="14">
        <v>98.416165184368268</v>
      </c>
      <c r="I183" s="14">
        <v>15.659900330945495</v>
      </c>
      <c r="J183" s="14">
        <v>32.92758070015897</v>
      </c>
    </row>
    <row r="184" spans="1:10" ht="15.75" x14ac:dyDescent="0.5">
      <c r="A184" s="13" t="s">
        <v>260</v>
      </c>
      <c r="B184" s="13" t="s">
        <v>408</v>
      </c>
      <c r="C184" s="13" t="s">
        <v>400</v>
      </c>
      <c r="D184" s="14">
        <v>46.892290321001241</v>
      </c>
      <c r="E184" s="14">
        <v>35.170778517527417</v>
      </c>
      <c r="F184" s="14">
        <v>32.347488204990022</v>
      </c>
      <c r="G184" s="14">
        <v>46.422192462424469</v>
      </c>
      <c r="H184" s="14">
        <v>43.941261090587609</v>
      </c>
      <c r="I184" s="14">
        <v>34.798383030136399</v>
      </c>
      <c r="J184" s="14">
        <v>42.210116072180703</v>
      </c>
    </row>
    <row r="185" spans="1:10" ht="15.75" x14ac:dyDescent="0.5">
      <c r="A185" s="13" t="s">
        <v>260</v>
      </c>
      <c r="B185" s="13" t="s">
        <v>409</v>
      </c>
      <c r="C185" s="13" t="s">
        <v>400</v>
      </c>
      <c r="D185" s="14">
        <v>18.365704270000037</v>
      </c>
      <c r="E185" s="14">
        <v>18.365704270000034</v>
      </c>
      <c r="F185" s="14">
        <v>18.36570427000003</v>
      </c>
      <c r="G185" s="14">
        <v>18.365704270000034</v>
      </c>
      <c r="H185" s="14">
        <v>18.365704270000037</v>
      </c>
      <c r="I185" s="14">
        <v>18.310358762390901</v>
      </c>
      <c r="J185" s="14">
        <v>18.365704270000034</v>
      </c>
    </row>
    <row r="186" spans="1:10" ht="15.75" x14ac:dyDescent="0.5">
      <c r="A186" s="13" t="s">
        <v>260</v>
      </c>
      <c r="B186" s="13" t="s">
        <v>410</v>
      </c>
      <c r="C186" s="13" t="s">
        <v>400</v>
      </c>
      <c r="D186" s="14">
        <v>245.79356253202207</v>
      </c>
      <c r="E186" s="14">
        <v>245.13697027936377</v>
      </c>
      <c r="F186" s="14">
        <v>246.12445039394572</v>
      </c>
      <c r="G186" s="14">
        <v>246.14973280241298</v>
      </c>
      <c r="H186" s="14">
        <v>246.0554935812554</v>
      </c>
      <c r="I186" s="14">
        <v>246.02555452504072</v>
      </c>
      <c r="J186" s="14">
        <v>246.04749013942043</v>
      </c>
    </row>
    <row r="187" spans="1:10" ht="15.75" x14ac:dyDescent="0.5">
      <c r="A187" s="13" t="s">
        <v>260</v>
      </c>
      <c r="B187" s="13" t="s">
        <v>411</v>
      </c>
      <c r="C187" s="13" t="s">
        <v>400</v>
      </c>
      <c r="D187" s="14">
        <v>7.139400000000018</v>
      </c>
      <c r="E187" s="14">
        <v>6.2897229094989422</v>
      </c>
      <c r="F187" s="14">
        <v>1.9272000000000051</v>
      </c>
      <c r="G187" s="14">
        <v>1.927200000000006</v>
      </c>
      <c r="H187" s="14">
        <v>1.9272000000000051</v>
      </c>
      <c r="I187" s="14">
        <v>1.9272000000000049</v>
      </c>
      <c r="J187" s="14" t="s">
        <v>250</v>
      </c>
    </row>
    <row r="188" spans="1:10" ht="15.75" x14ac:dyDescent="0.5">
      <c r="A188" s="13" t="s">
        <v>260</v>
      </c>
      <c r="B188" s="13" t="s">
        <v>412</v>
      </c>
      <c r="C188" s="13" t="s">
        <v>400</v>
      </c>
      <c r="D188" s="14">
        <v>760.72545968400175</v>
      </c>
      <c r="E188" s="14">
        <v>749.89006564650083</v>
      </c>
      <c r="F188" s="14">
        <v>643.84403089300793</v>
      </c>
      <c r="G188" s="14">
        <v>715.74100066703602</v>
      </c>
      <c r="H188" s="14">
        <v>817.5841361774593</v>
      </c>
      <c r="I188" s="14">
        <v>1200.7729537320242</v>
      </c>
      <c r="J188" s="14">
        <v>1859.6916268269747</v>
      </c>
    </row>
    <row r="189" spans="1:10" ht="15.75" x14ac:dyDescent="0.5">
      <c r="A189" s="13" t="s">
        <v>260</v>
      </c>
      <c r="B189" s="13" t="s">
        <v>413</v>
      </c>
      <c r="C189" s="13" t="s">
        <v>400</v>
      </c>
      <c r="D189" s="14">
        <v>23.702927619886133</v>
      </c>
      <c r="E189" s="14">
        <v>20.606315364483866</v>
      </c>
      <c r="F189" s="14">
        <v>5.8586384412900889</v>
      </c>
      <c r="G189" s="14">
        <v>3.3859198772364452</v>
      </c>
      <c r="H189" s="14">
        <v>1.3287703263690007</v>
      </c>
      <c r="I189" s="14">
        <v>0.42755813030903111</v>
      </c>
      <c r="J189" s="14">
        <v>0.76141946344583322</v>
      </c>
    </row>
    <row r="190" spans="1:10" ht="15.75" x14ac:dyDescent="0.5">
      <c r="A190" s="13" t="s">
        <v>260</v>
      </c>
      <c r="B190" s="13" t="s">
        <v>414</v>
      </c>
      <c r="C190" s="13" t="s">
        <v>400</v>
      </c>
      <c r="D190" s="14">
        <v>0.6803907705109502</v>
      </c>
      <c r="E190" s="14">
        <v>24.088891737351261</v>
      </c>
      <c r="F190" s="14">
        <v>94.647393818292969</v>
      </c>
      <c r="G190" s="14">
        <v>188.6492309327358</v>
      </c>
      <c r="H190" s="14">
        <v>228.20508381010114</v>
      </c>
      <c r="I190" s="14">
        <v>228.78237844591942</v>
      </c>
      <c r="J190" s="14">
        <v>229.19473175721865</v>
      </c>
    </row>
    <row r="191" spans="1:10" ht="15.75" x14ac:dyDescent="0.5">
      <c r="A191" s="13" t="s">
        <v>260</v>
      </c>
      <c r="B191" s="13" t="s">
        <v>415</v>
      </c>
      <c r="C191" s="13" t="s">
        <v>400</v>
      </c>
      <c r="D191" s="14">
        <v>440.53124483255567</v>
      </c>
      <c r="E191" s="14">
        <v>870.82252155189622</v>
      </c>
      <c r="F191" s="14">
        <v>1351.7191014356063</v>
      </c>
      <c r="G191" s="14">
        <v>1414.1141934987527</v>
      </c>
      <c r="H191" s="14">
        <v>1912.2489972477811</v>
      </c>
      <c r="I191" s="14">
        <v>2682.9422447033717</v>
      </c>
      <c r="J191" s="14">
        <v>2705.2394557287562</v>
      </c>
    </row>
    <row r="192" spans="1:10" ht="15.75" x14ac:dyDescent="0.5">
      <c r="A192" s="13" t="s">
        <v>260</v>
      </c>
      <c r="B192" s="13" t="s">
        <v>416</v>
      </c>
      <c r="C192" s="13" t="s">
        <v>400</v>
      </c>
      <c r="D192" s="14" t="s">
        <v>250</v>
      </c>
      <c r="E192" s="14">
        <v>54.174742594980984</v>
      </c>
      <c r="F192" s="14">
        <v>66.675949052097508</v>
      </c>
      <c r="G192" s="14">
        <v>76.801435170202183</v>
      </c>
      <c r="H192" s="14">
        <v>77.990654991853674</v>
      </c>
      <c r="I192" s="14">
        <v>82.68305730948768</v>
      </c>
      <c r="J192" s="14">
        <v>94.727837483420956</v>
      </c>
    </row>
    <row r="193" spans="1:10" ht="15.75" x14ac:dyDescent="0.5">
      <c r="A193" s="13" t="s">
        <v>260</v>
      </c>
      <c r="B193" s="13" t="s">
        <v>417</v>
      </c>
      <c r="C193" s="13" t="s">
        <v>400</v>
      </c>
      <c r="D193" s="14">
        <v>187.487096334087</v>
      </c>
      <c r="E193" s="14">
        <v>302.90544009337327</v>
      </c>
      <c r="F193" s="14">
        <v>345.63258548734996</v>
      </c>
      <c r="G193" s="14">
        <v>423.59302563146531</v>
      </c>
      <c r="H193" s="14">
        <v>999.46748479507107</v>
      </c>
      <c r="I193" s="14">
        <v>1466.2584103921765</v>
      </c>
      <c r="J193" s="14">
        <v>1535.7128278378245</v>
      </c>
    </row>
    <row r="194" spans="1:10" ht="15.75" x14ac:dyDescent="0.5">
      <c r="A194" s="13" t="s">
        <v>260</v>
      </c>
      <c r="B194" s="13" t="s">
        <v>418</v>
      </c>
      <c r="C194" s="13" t="s">
        <v>400</v>
      </c>
      <c r="D194" s="14">
        <v>3.184175173101953</v>
      </c>
      <c r="E194" s="14">
        <v>3.1841751731019534</v>
      </c>
      <c r="F194" s="14">
        <v>3.1841751731019534</v>
      </c>
      <c r="G194" s="14">
        <v>3.1841751731019534</v>
      </c>
      <c r="H194" s="14">
        <v>3.184175173101953</v>
      </c>
      <c r="I194" s="14">
        <v>3.184175173101953</v>
      </c>
      <c r="J194" s="14">
        <v>3.184175173101953</v>
      </c>
    </row>
    <row r="195" spans="1:10" ht="15.75" x14ac:dyDescent="0.5">
      <c r="A195" s="13" t="s">
        <v>260</v>
      </c>
      <c r="B195" s="13" t="s">
        <v>419</v>
      </c>
      <c r="C195" s="13" t="s">
        <v>400</v>
      </c>
      <c r="D195" s="14">
        <v>0.54465920264079504</v>
      </c>
      <c r="E195" s="14">
        <v>8.1942255980176508</v>
      </c>
      <c r="F195" s="14">
        <v>19.763227914304093</v>
      </c>
      <c r="G195" s="14">
        <v>32.773435906558944</v>
      </c>
      <c r="H195" s="14">
        <v>66.4785349240627</v>
      </c>
      <c r="I195" s="14">
        <v>174.40611153727093</v>
      </c>
      <c r="J195" s="14">
        <v>154.54076648481043</v>
      </c>
    </row>
    <row r="196" spans="1:10" ht="15.75" x14ac:dyDescent="0.5">
      <c r="A196" s="13" t="s">
        <v>260</v>
      </c>
      <c r="B196" s="13" t="s">
        <v>420</v>
      </c>
      <c r="C196" s="13" t="s">
        <v>400</v>
      </c>
      <c r="D196" s="14">
        <v>-13.987252957808458</v>
      </c>
      <c r="E196" s="14">
        <v>-13.683168342503127</v>
      </c>
      <c r="F196" s="14">
        <v>-13.5872664593055</v>
      </c>
      <c r="G196" s="14">
        <v>-13.322348156688324</v>
      </c>
      <c r="H196" s="14">
        <v>-14.143893193590909</v>
      </c>
      <c r="I196" s="14">
        <v>-16.28398088079561</v>
      </c>
      <c r="J196" s="14">
        <v>-17.212434206670466</v>
      </c>
    </row>
    <row r="197" spans="1:10" ht="15.75" x14ac:dyDescent="0.5">
      <c r="A197" s="13" t="s">
        <v>261</v>
      </c>
      <c r="B197" s="13" t="s">
        <v>399</v>
      </c>
      <c r="C197" s="13" t="s">
        <v>400</v>
      </c>
      <c r="D197" s="14">
        <v>7.249906462559788</v>
      </c>
      <c r="E197" s="14">
        <v>4.2389343065693544E-2</v>
      </c>
      <c r="F197" s="14">
        <v>0.51246000000000114</v>
      </c>
      <c r="G197" s="14">
        <v>2.152060145913393</v>
      </c>
      <c r="H197" s="14">
        <v>1.8130486423357706</v>
      </c>
      <c r="I197" s="14">
        <v>1.256216337430405</v>
      </c>
      <c r="J197" s="14">
        <v>5.5903067344254236</v>
      </c>
    </row>
    <row r="198" spans="1:10" ht="15.75" x14ac:dyDescent="0.5">
      <c r="A198" s="13" t="s">
        <v>261</v>
      </c>
      <c r="B198" s="13" t="s">
        <v>401</v>
      </c>
      <c r="C198" s="13" t="s">
        <v>400</v>
      </c>
      <c r="D198" s="14" t="s">
        <v>250</v>
      </c>
      <c r="E198" s="14" t="s">
        <v>250</v>
      </c>
      <c r="F198" s="14">
        <v>158.13843746127014</v>
      </c>
      <c r="G198" s="14">
        <v>158.1384374612702</v>
      </c>
      <c r="H198" s="14">
        <v>43.475259416685091</v>
      </c>
      <c r="I198" s="14">
        <v>21.285810177726511</v>
      </c>
      <c r="J198" s="14" t="s">
        <v>250</v>
      </c>
    </row>
    <row r="199" spans="1:10" ht="15.75" x14ac:dyDescent="0.5">
      <c r="A199" s="13" t="s">
        <v>261</v>
      </c>
      <c r="B199" s="13" t="s">
        <v>402</v>
      </c>
      <c r="C199" s="13" t="s">
        <v>400</v>
      </c>
      <c r="D199" s="14">
        <v>1072.9916742877465</v>
      </c>
      <c r="E199" s="14">
        <v>402.17351388425288</v>
      </c>
      <c r="F199" s="14">
        <v>150.98746074422772</v>
      </c>
      <c r="G199" s="14">
        <v>92.694701744626769</v>
      </c>
      <c r="H199" s="14">
        <v>72.58714095970565</v>
      </c>
      <c r="I199" s="14">
        <v>34.274122620856197</v>
      </c>
      <c r="J199" s="14" t="s">
        <v>250</v>
      </c>
    </row>
    <row r="200" spans="1:10" ht="15.75" x14ac:dyDescent="0.5">
      <c r="A200" s="13" t="s">
        <v>261</v>
      </c>
      <c r="B200" s="13" t="s">
        <v>403</v>
      </c>
      <c r="C200" s="13" t="s">
        <v>400</v>
      </c>
      <c r="D200" s="14" t="s">
        <v>250</v>
      </c>
      <c r="E200" s="14" t="s">
        <v>250</v>
      </c>
      <c r="F200" s="14">
        <v>103.35492044843494</v>
      </c>
      <c r="G200" s="14">
        <v>103.35492044843491</v>
      </c>
      <c r="H200" s="14">
        <v>24.265087465036007</v>
      </c>
      <c r="I200" s="14">
        <v>20.914959913035993</v>
      </c>
      <c r="J200" s="14">
        <v>40.334173259791562</v>
      </c>
    </row>
    <row r="201" spans="1:10" ht="15.75" x14ac:dyDescent="0.5">
      <c r="A201" s="13" t="s">
        <v>261</v>
      </c>
      <c r="B201" s="13" t="s">
        <v>404</v>
      </c>
      <c r="C201" s="13" t="s">
        <v>400</v>
      </c>
      <c r="D201" s="14" t="s">
        <v>250</v>
      </c>
      <c r="E201" s="14" t="s">
        <v>250</v>
      </c>
      <c r="F201" s="14" t="s">
        <v>250</v>
      </c>
      <c r="G201" s="14" t="s">
        <v>250</v>
      </c>
      <c r="H201" s="14" t="s">
        <v>250</v>
      </c>
      <c r="I201" s="14">
        <v>0.33069896914528535</v>
      </c>
      <c r="J201" s="14">
        <v>69.037104445499054</v>
      </c>
    </row>
    <row r="202" spans="1:10" ht="15.75" x14ac:dyDescent="0.5">
      <c r="A202" s="13" t="s">
        <v>261</v>
      </c>
      <c r="B202" s="13" t="s">
        <v>421</v>
      </c>
      <c r="C202" s="13" t="s">
        <v>400</v>
      </c>
      <c r="D202" s="14" t="s">
        <v>250</v>
      </c>
      <c r="E202" s="14" t="s">
        <v>250</v>
      </c>
      <c r="F202" s="14" t="s">
        <v>250</v>
      </c>
      <c r="G202" s="14">
        <v>289.97993931868444</v>
      </c>
      <c r="H202" s="14">
        <v>778.95941384544017</v>
      </c>
      <c r="I202" s="14">
        <v>776.6088121598001</v>
      </c>
      <c r="J202" s="14">
        <v>662.18519289226742</v>
      </c>
    </row>
    <row r="203" spans="1:10" ht="15.75" x14ac:dyDescent="0.5">
      <c r="A203" s="13" t="s">
        <v>261</v>
      </c>
      <c r="B203" s="13" t="s">
        <v>405</v>
      </c>
      <c r="C203" s="13" t="s">
        <v>400</v>
      </c>
      <c r="D203" s="14">
        <v>1259.3891290889942</v>
      </c>
      <c r="E203" s="14">
        <v>1335.8029729365994</v>
      </c>
      <c r="F203" s="14">
        <v>1347.9048762998848</v>
      </c>
      <c r="G203" s="14">
        <v>1325.2005124072007</v>
      </c>
      <c r="H203" s="14">
        <v>944.81498884755172</v>
      </c>
      <c r="I203" s="14">
        <v>576.72207455613386</v>
      </c>
      <c r="J203" s="14">
        <v>224.16161289201139</v>
      </c>
    </row>
    <row r="204" spans="1:10" ht="15.75" x14ac:dyDescent="0.5">
      <c r="A204" s="13" t="s">
        <v>261</v>
      </c>
      <c r="B204" s="13" t="s">
        <v>406</v>
      </c>
      <c r="C204" s="13" t="s">
        <v>400</v>
      </c>
      <c r="D204" s="14">
        <v>23.479196814299332</v>
      </c>
      <c r="E204" s="14">
        <v>21.347512980125224</v>
      </c>
      <c r="F204" s="14">
        <v>43.462018322092376</v>
      </c>
      <c r="G204" s="14">
        <v>48.797799677603372</v>
      </c>
      <c r="H204" s="14">
        <v>54.64812746629125</v>
      </c>
      <c r="I204" s="14">
        <v>51.613596191570508</v>
      </c>
      <c r="J204" s="14">
        <v>59.084747807742033</v>
      </c>
    </row>
    <row r="205" spans="1:10" ht="15.75" x14ac:dyDescent="0.5">
      <c r="A205" s="13" t="s">
        <v>261</v>
      </c>
      <c r="B205" s="13" t="s">
        <v>407</v>
      </c>
      <c r="C205" s="13" t="s">
        <v>400</v>
      </c>
      <c r="D205" s="14" t="s">
        <v>250</v>
      </c>
      <c r="E205" s="14">
        <v>117.03599146939324</v>
      </c>
      <c r="F205" s="14">
        <v>104.47070662628491</v>
      </c>
      <c r="G205" s="14">
        <v>322.31472361496373</v>
      </c>
      <c r="H205" s="14">
        <v>339.0020119159214</v>
      </c>
      <c r="I205" s="14">
        <v>93.801350473639673</v>
      </c>
      <c r="J205" s="14">
        <v>285.24208881724485</v>
      </c>
    </row>
    <row r="206" spans="1:10" ht="15.75" x14ac:dyDescent="0.5">
      <c r="A206" s="13" t="s">
        <v>261</v>
      </c>
      <c r="B206" s="13" t="s">
        <v>408</v>
      </c>
      <c r="C206" s="13" t="s">
        <v>400</v>
      </c>
      <c r="D206" s="14">
        <v>46.892290321001227</v>
      </c>
      <c r="E206" s="14">
        <v>35.132200458075722</v>
      </c>
      <c r="F206" s="14">
        <v>31.426054685792344</v>
      </c>
      <c r="G206" s="14">
        <v>46.757032983787013</v>
      </c>
      <c r="H206" s="14">
        <v>46.475425926365972</v>
      </c>
      <c r="I206" s="14">
        <v>42.628684697256688</v>
      </c>
      <c r="J206" s="14">
        <v>45.33411871532855</v>
      </c>
    </row>
    <row r="207" spans="1:10" ht="15.75" x14ac:dyDescent="0.5">
      <c r="A207" s="13" t="s">
        <v>261</v>
      </c>
      <c r="B207" s="13" t="s">
        <v>409</v>
      </c>
      <c r="C207" s="13" t="s">
        <v>400</v>
      </c>
      <c r="D207" s="14">
        <v>18.365704270000037</v>
      </c>
      <c r="E207" s="14">
        <v>18.365704270000034</v>
      </c>
      <c r="F207" s="14">
        <v>18.365704270000027</v>
      </c>
      <c r="G207" s="14">
        <v>18.365704270000034</v>
      </c>
      <c r="H207" s="14">
        <v>18.365704270000034</v>
      </c>
      <c r="I207" s="14">
        <v>18.365704270000037</v>
      </c>
      <c r="J207" s="14">
        <v>18.141285163197121</v>
      </c>
    </row>
    <row r="208" spans="1:10" ht="15.75" x14ac:dyDescent="0.5">
      <c r="A208" s="13" t="s">
        <v>261</v>
      </c>
      <c r="B208" s="13" t="s">
        <v>410</v>
      </c>
      <c r="C208" s="13" t="s">
        <v>400</v>
      </c>
      <c r="D208" s="14">
        <v>245.79356253202224</v>
      </c>
      <c r="E208" s="14">
        <v>245.05830241574779</v>
      </c>
      <c r="F208" s="14">
        <v>246.12445039394575</v>
      </c>
      <c r="G208" s="14">
        <v>246.13878255017312</v>
      </c>
      <c r="H208" s="14">
        <v>246.16997594182479</v>
      </c>
      <c r="I208" s="14">
        <v>246.16997594139102</v>
      </c>
      <c r="J208" s="14">
        <v>246.16997594059495</v>
      </c>
    </row>
    <row r="209" spans="1:10" ht="15.75" x14ac:dyDescent="0.5">
      <c r="A209" s="13" t="s">
        <v>261</v>
      </c>
      <c r="B209" s="13" t="s">
        <v>411</v>
      </c>
      <c r="C209" s="13" t="s">
        <v>400</v>
      </c>
      <c r="D209" s="14">
        <v>7.139400000000018</v>
      </c>
      <c r="E209" s="14">
        <v>5.8260569343065827</v>
      </c>
      <c r="F209" s="14" t="s">
        <v>250</v>
      </c>
      <c r="G209" s="14" t="s">
        <v>250</v>
      </c>
      <c r="H209" s="14" t="s">
        <v>250</v>
      </c>
      <c r="I209" s="14" t="s">
        <v>250</v>
      </c>
      <c r="J209" s="14" t="s">
        <v>250</v>
      </c>
    </row>
    <row r="210" spans="1:10" ht="15.75" x14ac:dyDescent="0.5">
      <c r="A210" s="13" t="s">
        <v>261</v>
      </c>
      <c r="B210" s="13" t="s">
        <v>412</v>
      </c>
      <c r="C210" s="13" t="s">
        <v>400</v>
      </c>
      <c r="D210" s="14">
        <v>760.72545968400152</v>
      </c>
      <c r="E210" s="14">
        <v>748.44795497671089</v>
      </c>
      <c r="F210" s="14">
        <v>645.54619554962937</v>
      </c>
      <c r="G210" s="14">
        <v>715.01283449597622</v>
      </c>
      <c r="H210" s="14">
        <v>716.34401858600165</v>
      </c>
      <c r="I210" s="14">
        <v>633.51366229517714</v>
      </c>
      <c r="J210" s="14">
        <v>674.50354873633228</v>
      </c>
    </row>
    <row r="211" spans="1:10" ht="15.75" x14ac:dyDescent="0.5">
      <c r="A211" s="13" t="s">
        <v>261</v>
      </c>
      <c r="B211" s="13" t="s">
        <v>413</v>
      </c>
      <c r="C211" s="13" t="s">
        <v>400</v>
      </c>
      <c r="D211" s="14">
        <v>23.702927619886133</v>
      </c>
      <c r="E211" s="14">
        <v>21.002590147102808</v>
      </c>
      <c r="F211" s="14">
        <v>6.3323449541865937</v>
      </c>
      <c r="G211" s="14">
        <v>2.4122477166399228</v>
      </c>
      <c r="H211" s="14">
        <v>1.4747491308807423</v>
      </c>
      <c r="I211" s="14">
        <v>0.45448743552243209</v>
      </c>
      <c r="J211" s="14">
        <v>4.4697810218978272E-3</v>
      </c>
    </row>
    <row r="212" spans="1:10" ht="15.75" x14ac:dyDescent="0.5">
      <c r="A212" s="13" t="s">
        <v>261</v>
      </c>
      <c r="B212" s="13" t="s">
        <v>414</v>
      </c>
      <c r="C212" s="13" t="s">
        <v>400</v>
      </c>
      <c r="D212" s="14">
        <v>0.6803907705109502</v>
      </c>
      <c r="E212" s="14">
        <v>24.088891780416809</v>
      </c>
      <c r="F212" s="14">
        <v>94.647933846705286</v>
      </c>
      <c r="G212" s="14">
        <v>188.65145999153765</v>
      </c>
      <c r="H212" s="14">
        <v>228.20861770363189</v>
      </c>
      <c r="I212" s="14">
        <v>228.78592264020156</v>
      </c>
      <c r="J212" s="14">
        <v>229.19828330918045</v>
      </c>
    </row>
    <row r="213" spans="1:10" ht="15.75" x14ac:dyDescent="0.5">
      <c r="A213" s="13" t="s">
        <v>261</v>
      </c>
      <c r="B213" s="13" t="s">
        <v>415</v>
      </c>
      <c r="C213" s="13" t="s">
        <v>400</v>
      </c>
      <c r="D213" s="14">
        <v>440.53124483255544</v>
      </c>
      <c r="E213" s="14">
        <v>870.81150721244148</v>
      </c>
      <c r="F213" s="14">
        <v>1357.7161545864458</v>
      </c>
      <c r="G213" s="14">
        <v>1544.2877538399352</v>
      </c>
      <c r="H213" s="14">
        <v>2263.3489527810402</v>
      </c>
      <c r="I213" s="14">
        <v>3212.9780661239647</v>
      </c>
      <c r="J213" s="14">
        <v>3458.8277886589249</v>
      </c>
    </row>
    <row r="214" spans="1:10" ht="15.75" x14ac:dyDescent="0.5">
      <c r="A214" s="13" t="s">
        <v>261</v>
      </c>
      <c r="B214" s="13" t="s">
        <v>416</v>
      </c>
      <c r="C214" s="13" t="s">
        <v>400</v>
      </c>
      <c r="D214" s="14" t="s">
        <v>250</v>
      </c>
      <c r="E214" s="14">
        <v>54.174742594980984</v>
      </c>
      <c r="F214" s="14">
        <v>66.675949052097465</v>
      </c>
      <c r="G214" s="14">
        <v>76.801435170202126</v>
      </c>
      <c r="H214" s="14">
        <v>77.990654991853688</v>
      </c>
      <c r="I214" s="14">
        <v>82.683057309487666</v>
      </c>
      <c r="J214" s="14">
        <v>94.727837483420942</v>
      </c>
    </row>
    <row r="215" spans="1:10" ht="15.75" x14ac:dyDescent="0.5">
      <c r="A215" s="13" t="s">
        <v>261</v>
      </c>
      <c r="B215" s="13" t="s">
        <v>417</v>
      </c>
      <c r="C215" s="13" t="s">
        <v>400</v>
      </c>
      <c r="D215" s="14">
        <v>187.48709633408689</v>
      </c>
      <c r="E215" s="14">
        <v>302.61160377426535</v>
      </c>
      <c r="F215" s="14">
        <v>345.22808485023444</v>
      </c>
      <c r="G215" s="14">
        <v>579.59145171960938</v>
      </c>
      <c r="H215" s="14">
        <v>1101.1476054571945</v>
      </c>
      <c r="I215" s="14">
        <v>2235.2225890174423</v>
      </c>
      <c r="J215" s="14">
        <v>2607.5218697535183</v>
      </c>
    </row>
    <row r="216" spans="1:10" ht="15.75" x14ac:dyDescent="0.5">
      <c r="A216" s="13" t="s">
        <v>261</v>
      </c>
      <c r="B216" s="13" t="s">
        <v>418</v>
      </c>
      <c r="C216" s="13" t="s">
        <v>400</v>
      </c>
      <c r="D216" s="14">
        <v>3.184175173101953</v>
      </c>
      <c r="E216" s="14">
        <v>3.184175173101953</v>
      </c>
      <c r="F216" s="14">
        <v>3.1841751731019534</v>
      </c>
      <c r="G216" s="14">
        <v>3.1841751731019534</v>
      </c>
      <c r="H216" s="14">
        <v>3.1841751731019534</v>
      </c>
      <c r="I216" s="14">
        <v>3.1841751731019534</v>
      </c>
      <c r="J216" s="14">
        <v>3.1841751731019534</v>
      </c>
    </row>
    <row r="217" spans="1:10" ht="15.75" x14ac:dyDescent="0.5">
      <c r="A217" s="13" t="s">
        <v>261</v>
      </c>
      <c r="B217" s="13" t="s">
        <v>419</v>
      </c>
      <c r="C217" s="13" t="s">
        <v>400</v>
      </c>
      <c r="D217" s="14">
        <v>0.54465920264079493</v>
      </c>
      <c r="E217" s="14">
        <v>8.4409794758733447</v>
      </c>
      <c r="F217" s="14">
        <v>21.022724684679574</v>
      </c>
      <c r="G217" s="14">
        <v>54.116300290925665</v>
      </c>
      <c r="H217" s="14">
        <v>236.45237937678678</v>
      </c>
      <c r="I217" s="14">
        <v>990.15964993781836</v>
      </c>
      <c r="J217" s="14">
        <v>1590.1827672291972</v>
      </c>
    </row>
    <row r="218" spans="1:10" ht="15.75" x14ac:dyDescent="0.5">
      <c r="A218" s="13" t="s">
        <v>261</v>
      </c>
      <c r="B218" s="13" t="s">
        <v>420</v>
      </c>
      <c r="C218" s="13" t="s">
        <v>400</v>
      </c>
      <c r="D218" s="14">
        <v>-13.987252957808336</v>
      </c>
      <c r="E218" s="14">
        <v>-13.778215330208948</v>
      </c>
      <c r="F218" s="14">
        <v>-13.723417295218844</v>
      </c>
      <c r="G218" s="14">
        <v>-12.774163369233751</v>
      </c>
      <c r="H218" s="14">
        <v>-13.36329337220249</v>
      </c>
      <c r="I218" s="14">
        <v>-15.510653713522137</v>
      </c>
      <c r="J218" s="14">
        <v>-15.515073151863973</v>
      </c>
    </row>
    <row r="219" spans="1:10" ht="15.75" x14ac:dyDescent="0.5">
      <c r="A219" s="13" t="s">
        <v>262</v>
      </c>
      <c r="B219" s="13" t="s">
        <v>399</v>
      </c>
      <c r="C219" s="13" t="s">
        <v>400</v>
      </c>
      <c r="D219" s="14">
        <v>7.2499064625597889</v>
      </c>
      <c r="E219" s="14">
        <v>4.2389343065693544E-2</v>
      </c>
      <c r="F219" s="14">
        <v>0.51246000000000114</v>
      </c>
      <c r="G219" s="14">
        <v>2.1621099986130168</v>
      </c>
      <c r="H219" s="14">
        <v>2.4965569665830856</v>
      </c>
      <c r="I219" s="14">
        <v>1.1845236788321192</v>
      </c>
      <c r="J219" s="14">
        <v>3.2604267078543812</v>
      </c>
    </row>
    <row r="220" spans="1:10" ht="15.75" x14ac:dyDescent="0.5">
      <c r="A220" s="13" t="s">
        <v>262</v>
      </c>
      <c r="B220" s="13" t="s">
        <v>401</v>
      </c>
      <c r="C220" s="13" t="s">
        <v>400</v>
      </c>
      <c r="D220" s="14" t="s">
        <v>250</v>
      </c>
      <c r="E220" s="14" t="s">
        <v>250</v>
      </c>
      <c r="F220" s="14">
        <v>160.45659062419816</v>
      </c>
      <c r="G220" s="14">
        <v>160.45659062419818</v>
      </c>
      <c r="H220" s="14">
        <v>43.625718834825676</v>
      </c>
      <c r="I220" s="14">
        <v>25.565690175015405</v>
      </c>
      <c r="J220" s="14" t="s">
        <v>250</v>
      </c>
    </row>
    <row r="221" spans="1:10" ht="15.75" x14ac:dyDescent="0.5">
      <c r="A221" s="13" t="s">
        <v>262</v>
      </c>
      <c r="B221" s="13" t="s">
        <v>402</v>
      </c>
      <c r="C221" s="13" t="s">
        <v>400</v>
      </c>
      <c r="D221" s="14">
        <v>1072.991674287746</v>
      </c>
      <c r="E221" s="14">
        <v>403.06845659634871</v>
      </c>
      <c r="F221" s="14">
        <v>149.79219690966619</v>
      </c>
      <c r="G221" s="14">
        <v>92.596236907257321</v>
      </c>
      <c r="H221" s="14">
        <v>67.439741858866242</v>
      </c>
      <c r="I221" s="14">
        <v>37.506619606874061</v>
      </c>
      <c r="J221" s="14" t="s">
        <v>250</v>
      </c>
    </row>
    <row r="222" spans="1:10" ht="15.75" x14ac:dyDescent="0.5">
      <c r="A222" s="13" t="s">
        <v>262</v>
      </c>
      <c r="B222" s="13" t="s">
        <v>403</v>
      </c>
      <c r="C222" s="13" t="s">
        <v>400</v>
      </c>
      <c r="D222" s="14" t="s">
        <v>250</v>
      </c>
      <c r="E222" s="14" t="s">
        <v>250</v>
      </c>
      <c r="F222" s="14">
        <v>117.39525099054406</v>
      </c>
      <c r="G222" s="14">
        <v>117.39525099054406</v>
      </c>
      <c r="H222" s="14">
        <v>27.098699447816145</v>
      </c>
      <c r="I222" s="14">
        <v>23.748571895816131</v>
      </c>
      <c r="J222" s="14" t="s">
        <v>250</v>
      </c>
    </row>
    <row r="223" spans="1:10" ht="15.75" x14ac:dyDescent="0.5">
      <c r="A223" s="13" t="s">
        <v>262</v>
      </c>
      <c r="B223" s="13" t="s">
        <v>404</v>
      </c>
      <c r="C223" s="13" t="s">
        <v>400</v>
      </c>
      <c r="D223" s="14" t="s">
        <v>250</v>
      </c>
      <c r="E223" s="14" t="s">
        <v>250</v>
      </c>
      <c r="F223" s="14" t="s">
        <v>250</v>
      </c>
      <c r="G223" s="14" t="s">
        <v>250</v>
      </c>
      <c r="H223" s="14" t="s">
        <v>250</v>
      </c>
      <c r="I223" s="14">
        <v>0.33069896914528535</v>
      </c>
      <c r="J223" s="14">
        <v>32.516605437025191</v>
      </c>
    </row>
    <row r="224" spans="1:10" ht="15.75" x14ac:dyDescent="0.5">
      <c r="A224" s="13" t="s">
        <v>262</v>
      </c>
      <c r="B224" s="13" t="s">
        <v>421</v>
      </c>
      <c r="C224" s="13" t="s">
        <v>400</v>
      </c>
      <c r="D224" s="14" t="s">
        <v>250</v>
      </c>
      <c r="E224" s="14" t="s">
        <v>250</v>
      </c>
      <c r="F224" s="14" t="s">
        <v>250</v>
      </c>
      <c r="G224" s="14">
        <v>265.50735740689589</v>
      </c>
      <c r="H224" s="14">
        <v>714.68632256321075</v>
      </c>
      <c r="I224" s="14">
        <v>711.09989211431673</v>
      </c>
      <c r="J224" s="14">
        <v>163.8132664985483</v>
      </c>
    </row>
    <row r="225" spans="1:10" ht="15.75" x14ac:dyDescent="0.5">
      <c r="A225" s="13" t="s">
        <v>262</v>
      </c>
      <c r="B225" s="13" t="s">
        <v>405</v>
      </c>
      <c r="C225" s="13" t="s">
        <v>400</v>
      </c>
      <c r="D225" s="14">
        <v>1259.3891290889942</v>
      </c>
      <c r="E225" s="14">
        <v>1336.975306143248</v>
      </c>
      <c r="F225" s="14">
        <v>1337.9313160170609</v>
      </c>
      <c r="G225" s="14">
        <v>1321.3349467753433</v>
      </c>
      <c r="H225" s="14">
        <v>956.43380393077689</v>
      </c>
      <c r="I225" s="14">
        <v>552.40614244363451</v>
      </c>
      <c r="J225" s="14">
        <v>194.96884774187276</v>
      </c>
    </row>
    <row r="226" spans="1:10" ht="15.75" x14ac:dyDescent="0.5">
      <c r="A226" s="13" t="s">
        <v>262</v>
      </c>
      <c r="B226" s="13" t="s">
        <v>406</v>
      </c>
      <c r="C226" s="13" t="s">
        <v>400</v>
      </c>
      <c r="D226" s="14">
        <v>23.479196814299328</v>
      </c>
      <c r="E226" s="14">
        <v>21.359003536601556</v>
      </c>
      <c r="F226" s="14">
        <v>43.68784272457453</v>
      </c>
      <c r="G226" s="14">
        <v>49.899391554073823</v>
      </c>
      <c r="H226" s="14">
        <v>59.990359330575998</v>
      </c>
      <c r="I226" s="14">
        <v>59.538538196931526</v>
      </c>
      <c r="J226" s="14">
        <v>91.09435381234141</v>
      </c>
    </row>
    <row r="227" spans="1:10" ht="15.75" x14ac:dyDescent="0.5">
      <c r="A227" s="13" t="s">
        <v>262</v>
      </c>
      <c r="B227" s="13" t="s">
        <v>407</v>
      </c>
      <c r="C227" s="13" t="s">
        <v>400</v>
      </c>
      <c r="D227" s="14" t="s">
        <v>250</v>
      </c>
      <c r="E227" s="14">
        <v>114.95081061520274</v>
      </c>
      <c r="F227" s="14">
        <v>98.877244606606268</v>
      </c>
      <c r="G227" s="14">
        <v>321.25606536007427</v>
      </c>
      <c r="H227" s="14">
        <v>328.67507245578275</v>
      </c>
      <c r="I227" s="14">
        <v>79.640145026720901</v>
      </c>
      <c r="J227" s="14">
        <v>184.5487324194612</v>
      </c>
    </row>
    <row r="228" spans="1:10" ht="15.75" x14ac:dyDescent="0.5">
      <c r="A228" s="13" t="s">
        <v>262</v>
      </c>
      <c r="B228" s="13" t="s">
        <v>408</v>
      </c>
      <c r="C228" s="13" t="s">
        <v>400</v>
      </c>
      <c r="D228" s="14">
        <v>46.892290321001234</v>
      </c>
      <c r="E228" s="14">
        <v>35.133038749916096</v>
      </c>
      <c r="F228" s="14">
        <v>31.44994492898136</v>
      </c>
      <c r="G228" s="14">
        <v>46.721313376891828</v>
      </c>
      <c r="H228" s="14">
        <v>46.579992893118259</v>
      </c>
      <c r="I228" s="14">
        <v>42.759211637887439</v>
      </c>
      <c r="J228" s="14">
        <v>43.915848220763607</v>
      </c>
    </row>
    <row r="229" spans="1:10" ht="15.75" x14ac:dyDescent="0.5">
      <c r="A229" s="13" t="s">
        <v>262</v>
      </c>
      <c r="B229" s="13" t="s">
        <v>409</v>
      </c>
      <c r="C229" s="13" t="s">
        <v>400</v>
      </c>
      <c r="D229" s="14">
        <v>18.365704270000034</v>
      </c>
      <c r="E229" s="14">
        <v>18.365704270000034</v>
      </c>
      <c r="F229" s="14">
        <v>18.36570427000003</v>
      </c>
      <c r="G229" s="14">
        <v>18.365704270000037</v>
      </c>
      <c r="H229" s="14">
        <v>18.36570427000003</v>
      </c>
      <c r="I229" s="14">
        <v>18.365704270000037</v>
      </c>
      <c r="J229" s="14">
        <v>18.16650188671791</v>
      </c>
    </row>
    <row r="230" spans="1:10" ht="15.75" x14ac:dyDescent="0.5">
      <c r="A230" s="13" t="s">
        <v>262</v>
      </c>
      <c r="B230" s="13" t="s">
        <v>410</v>
      </c>
      <c r="C230" s="13" t="s">
        <v>400</v>
      </c>
      <c r="D230" s="14">
        <v>245.79356253202212</v>
      </c>
      <c r="E230" s="14">
        <v>245.07698451907689</v>
      </c>
      <c r="F230" s="14">
        <v>246.10136444800673</v>
      </c>
      <c r="G230" s="14">
        <v>246.12445039396297</v>
      </c>
      <c r="H230" s="14">
        <v>246.16997594139107</v>
      </c>
      <c r="I230" s="14">
        <v>246.16997594070074</v>
      </c>
      <c r="J230" s="14">
        <v>246.16997594114301</v>
      </c>
    </row>
    <row r="231" spans="1:10" ht="15.75" x14ac:dyDescent="0.5">
      <c r="A231" s="13" t="s">
        <v>262</v>
      </c>
      <c r="B231" s="13" t="s">
        <v>411</v>
      </c>
      <c r="C231" s="13" t="s">
        <v>400</v>
      </c>
      <c r="D231" s="14">
        <v>7.1394000000000153</v>
      </c>
      <c r="E231" s="14">
        <v>5.8260569343065818</v>
      </c>
      <c r="F231" s="14" t="s">
        <v>250</v>
      </c>
      <c r="G231" s="14" t="s">
        <v>250</v>
      </c>
      <c r="H231" s="14" t="s">
        <v>250</v>
      </c>
      <c r="I231" s="14" t="s">
        <v>250</v>
      </c>
      <c r="J231" s="14" t="s">
        <v>250</v>
      </c>
    </row>
    <row r="232" spans="1:10" ht="15.75" x14ac:dyDescent="0.5">
      <c r="A232" s="13" t="s">
        <v>262</v>
      </c>
      <c r="B232" s="13" t="s">
        <v>412</v>
      </c>
      <c r="C232" s="13" t="s">
        <v>400</v>
      </c>
      <c r="D232" s="14">
        <v>760.72545968400198</v>
      </c>
      <c r="E232" s="14">
        <v>748.4437434058899</v>
      </c>
      <c r="F232" s="14">
        <v>645.30651155890178</v>
      </c>
      <c r="G232" s="14">
        <v>715.16246547766059</v>
      </c>
      <c r="H232" s="14">
        <v>717.20731730896159</v>
      </c>
      <c r="I232" s="14">
        <v>855.97785130920931</v>
      </c>
      <c r="J232" s="14">
        <v>1850.4435185334155</v>
      </c>
    </row>
    <row r="233" spans="1:10" ht="15.75" x14ac:dyDescent="0.5">
      <c r="A233" s="13" t="s">
        <v>262</v>
      </c>
      <c r="B233" s="13" t="s">
        <v>413</v>
      </c>
      <c r="C233" s="13" t="s">
        <v>400</v>
      </c>
      <c r="D233" s="14">
        <v>23.702927619886136</v>
      </c>
      <c r="E233" s="14">
        <v>21.154884325218077</v>
      </c>
      <c r="F233" s="14">
        <v>6.3235141980725249</v>
      </c>
      <c r="G233" s="14">
        <v>2.4862810064337615</v>
      </c>
      <c r="H233" s="14">
        <v>1.0554404908104911</v>
      </c>
      <c r="I233" s="14">
        <v>0.50456474657136763</v>
      </c>
      <c r="J233" s="14" t="s">
        <v>250</v>
      </c>
    </row>
    <row r="234" spans="1:10" ht="15.75" x14ac:dyDescent="0.5">
      <c r="A234" s="13" t="s">
        <v>262</v>
      </c>
      <c r="B234" s="13" t="s">
        <v>414</v>
      </c>
      <c r="C234" s="13" t="s">
        <v>400</v>
      </c>
      <c r="D234" s="14">
        <v>0.6803907705109502</v>
      </c>
      <c r="E234" s="14">
        <v>24.088891780416809</v>
      </c>
      <c r="F234" s="14">
        <v>94.638290602346729</v>
      </c>
      <c r="G234" s="14">
        <v>188.62525370896881</v>
      </c>
      <c r="H234" s="14">
        <v>228.18231283943578</v>
      </c>
      <c r="I234" s="14">
        <v>228.75954110140651</v>
      </c>
      <c r="J234" s="14">
        <v>229.17184700281479</v>
      </c>
    </row>
    <row r="235" spans="1:10" ht="15.75" x14ac:dyDescent="0.5">
      <c r="A235" s="13" t="s">
        <v>262</v>
      </c>
      <c r="B235" s="13" t="s">
        <v>415</v>
      </c>
      <c r="C235" s="13" t="s">
        <v>400</v>
      </c>
      <c r="D235" s="14">
        <v>440.53124483255556</v>
      </c>
      <c r="E235" s="14">
        <v>870.81150721244171</v>
      </c>
      <c r="F235" s="14">
        <v>1357.7553539324515</v>
      </c>
      <c r="G235" s="14">
        <v>1550.8778948017316</v>
      </c>
      <c r="H235" s="14">
        <v>2310.7306928600847</v>
      </c>
      <c r="I235" s="14">
        <v>3220.8244500543233</v>
      </c>
      <c r="J235" s="14">
        <v>3313.9920423164826</v>
      </c>
    </row>
    <row r="236" spans="1:10" ht="15.75" x14ac:dyDescent="0.5">
      <c r="A236" s="13" t="s">
        <v>262</v>
      </c>
      <c r="B236" s="13" t="s">
        <v>416</v>
      </c>
      <c r="C236" s="13" t="s">
        <v>400</v>
      </c>
      <c r="D236" s="14" t="s">
        <v>250</v>
      </c>
      <c r="E236" s="14">
        <v>54.174742594981019</v>
      </c>
      <c r="F236" s="14">
        <v>66.675949052097465</v>
      </c>
      <c r="G236" s="14">
        <v>76.801435170202126</v>
      </c>
      <c r="H236" s="14">
        <v>77.990654991853717</v>
      </c>
      <c r="I236" s="14">
        <v>82.683057309487666</v>
      </c>
      <c r="J236" s="14">
        <v>94.727837483420927</v>
      </c>
    </row>
    <row r="237" spans="1:10" ht="15.75" x14ac:dyDescent="0.5">
      <c r="A237" s="13" t="s">
        <v>262</v>
      </c>
      <c r="B237" s="13" t="s">
        <v>417</v>
      </c>
      <c r="C237" s="13" t="s">
        <v>400</v>
      </c>
      <c r="D237" s="14">
        <v>187.48709633408697</v>
      </c>
      <c r="E237" s="14">
        <v>302.60116026777257</v>
      </c>
      <c r="F237" s="14">
        <v>345.22808485023427</v>
      </c>
      <c r="G237" s="14">
        <v>585.0824700763842</v>
      </c>
      <c r="H237" s="14">
        <v>1118.7883474720593</v>
      </c>
      <c r="I237" s="14">
        <v>1966.9380450137053</v>
      </c>
      <c r="J237" s="14">
        <v>2127.4124000657866</v>
      </c>
    </row>
    <row r="238" spans="1:10" ht="15.75" x14ac:dyDescent="0.5">
      <c r="A238" s="13" t="s">
        <v>262</v>
      </c>
      <c r="B238" s="13" t="s">
        <v>418</v>
      </c>
      <c r="C238" s="13" t="s">
        <v>400</v>
      </c>
      <c r="D238" s="14">
        <v>3.184175173101953</v>
      </c>
      <c r="E238" s="14">
        <v>3.184175173101953</v>
      </c>
      <c r="F238" s="14">
        <v>3.184175173101953</v>
      </c>
      <c r="G238" s="14">
        <v>3.1841751731019534</v>
      </c>
      <c r="H238" s="14">
        <v>3.1841751731019534</v>
      </c>
      <c r="I238" s="14">
        <v>3.1841751731019539</v>
      </c>
      <c r="J238" s="14">
        <v>3.1841751731019543</v>
      </c>
    </row>
    <row r="239" spans="1:10" ht="15.75" x14ac:dyDescent="0.5">
      <c r="A239" s="13" t="s">
        <v>262</v>
      </c>
      <c r="B239" s="13" t="s">
        <v>419</v>
      </c>
      <c r="C239" s="13" t="s">
        <v>400</v>
      </c>
      <c r="D239" s="14">
        <v>0.54465920264079493</v>
      </c>
      <c r="E239" s="14">
        <v>8.3868013329474245</v>
      </c>
      <c r="F239" s="14">
        <v>21.085100630687219</v>
      </c>
      <c r="G239" s="14">
        <v>52.797174264223145</v>
      </c>
      <c r="H239" s="14">
        <v>241.27284464814909</v>
      </c>
      <c r="I239" s="14">
        <v>798.46607535736678</v>
      </c>
      <c r="J239" s="14">
        <v>869.8535857256278</v>
      </c>
    </row>
    <row r="240" spans="1:10" ht="15.75" x14ac:dyDescent="0.5">
      <c r="A240" s="13" t="s">
        <v>262</v>
      </c>
      <c r="B240" s="13" t="s">
        <v>420</v>
      </c>
      <c r="C240" s="13" t="s">
        <v>400</v>
      </c>
      <c r="D240" s="14">
        <v>-13.987252957808405</v>
      </c>
      <c r="E240" s="14">
        <v>-13.764929312869945</v>
      </c>
      <c r="F240" s="14">
        <v>-13.799524241523528</v>
      </c>
      <c r="G240" s="14">
        <v>-12.872966821662155</v>
      </c>
      <c r="H240" s="14">
        <v>-13.282788993250318</v>
      </c>
      <c r="I240" s="14">
        <v>-16.355123127084688</v>
      </c>
      <c r="J240" s="14">
        <v>-17.408884042842246</v>
      </c>
    </row>
    <row r="241" spans="1:10" ht="15.75" x14ac:dyDescent="0.5">
      <c r="A241" s="13" t="s">
        <v>263</v>
      </c>
      <c r="B241" s="13" t="s">
        <v>399</v>
      </c>
      <c r="C241" s="13" t="s">
        <v>400</v>
      </c>
      <c r="D241" s="14">
        <v>7.249906462559788</v>
      </c>
      <c r="E241" s="14">
        <v>4.2389343065693544E-2</v>
      </c>
      <c r="F241" s="14">
        <v>0.51246000000000114</v>
      </c>
      <c r="G241" s="14">
        <v>1.8962970064940237</v>
      </c>
      <c r="H241" s="14">
        <v>1.8688678924365028</v>
      </c>
      <c r="I241" s="14">
        <v>5.0837080291970899E-2</v>
      </c>
      <c r="J241" s="14">
        <v>0.5811104467389776</v>
      </c>
    </row>
    <row r="242" spans="1:10" ht="15.75" x14ac:dyDescent="0.5">
      <c r="A242" s="13" t="s">
        <v>263</v>
      </c>
      <c r="B242" s="13" t="s">
        <v>401</v>
      </c>
      <c r="C242" s="13" t="s">
        <v>400</v>
      </c>
      <c r="D242" s="14" t="s">
        <v>250</v>
      </c>
      <c r="E242" s="14" t="s">
        <v>250</v>
      </c>
      <c r="F242" s="14">
        <v>161.66284345133025</v>
      </c>
      <c r="G242" s="14">
        <v>161.66284345133022</v>
      </c>
      <c r="H242" s="14">
        <v>42.260485119707901</v>
      </c>
      <c r="I242" s="14">
        <v>30.599635879326392</v>
      </c>
      <c r="J242" s="14" t="s">
        <v>250</v>
      </c>
    </row>
    <row r="243" spans="1:10" ht="15.75" x14ac:dyDescent="0.5">
      <c r="A243" s="13" t="s">
        <v>263</v>
      </c>
      <c r="B243" s="13" t="s">
        <v>402</v>
      </c>
      <c r="C243" s="13" t="s">
        <v>400</v>
      </c>
      <c r="D243" s="14">
        <v>1072.9916742877465</v>
      </c>
      <c r="E243" s="14">
        <v>402.83719008032722</v>
      </c>
      <c r="F243" s="14">
        <v>146.39070633193467</v>
      </c>
      <c r="G243" s="14">
        <v>89.406370736583781</v>
      </c>
      <c r="H243" s="14">
        <v>67.193361750457584</v>
      </c>
      <c r="I243" s="14">
        <v>51.573807334458763</v>
      </c>
      <c r="J243" s="14" t="s">
        <v>250</v>
      </c>
    </row>
    <row r="244" spans="1:10" ht="15.75" x14ac:dyDescent="0.5">
      <c r="A244" s="13" t="s">
        <v>263</v>
      </c>
      <c r="B244" s="13" t="s">
        <v>403</v>
      </c>
      <c r="C244" s="13" t="s">
        <v>400</v>
      </c>
      <c r="D244" s="14" t="s">
        <v>250</v>
      </c>
      <c r="E244" s="14" t="s">
        <v>250</v>
      </c>
      <c r="F244" s="14">
        <v>121.42225183008453</v>
      </c>
      <c r="G244" s="14">
        <v>121.42225183008451</v>
      </c>
      <c r="H244" s="14">
        <v>28.168011956761877</v>
      </c>
      <c r="I244" s="14">
        <v>24.580596862663327</v>
      </c>
      <c r="J244" s="14" t="s">
        <v>250</v>
      </c>
    </row>
    <row r="245" spans="1:10" ht="15.75" x14ac:dyDescent="0.5">
      <c r="A245" s="13" t="s">
        <v>263</v>
      </c>
      <c r="B245" s="13" t="s">
        <v>404</v>
      </c>
      <c r="C245" s="13" t="s">
        <v>400</v>
      </c>
      <c r="D245" s="14" t="s">
        <v>250</v>
      </c>
      <c r="E245" s="14" t="s">
        <v>250</v>
      </c>
      <c r="F245" s="14" t="s">
        <v>250</v>
      </c>
      <c r="G245" s="14" t="s">
        <v>250</v>
      </c>
      <c r="H245" s="14" t="s">
        <v>250</v>
      </c>
      <c r="I245" s="14">
        <v>0.33069896914528529</v>
      </c>
      <c r="J245" s="14">
        <v>41.093719057986576</v>
      </c>
    </row>
    <row r="246" spans="1:10" ht="15.75" x14ac:dyDescent="0.5">
      <c r="A246" s="13" t="s">
        <v>263</v>
      </c>
      <c r="B246" s="13" t="s">
        <v>421</v>
      </c>
      <c r="C246" s="13" t="s">
        <v>400</v>
      </c>
      <c r="D246" s="14" t="s">
        <v>250</v>
      </c>
      <c r="E246" s="14" t="s">
        <v>250</v>
      </c>
      <c r="F246" s="14" t="s">
        <v>250</v>
      </c>
      <c r="G246" s="14">
        <v>23.498140442298052</v>
      </c>
      <c r="H246" s="14">
        <v>63.337590016392987</v>
      </c>
      <c r="I246" s="14">
        <v>61.668874394720483</v>
      </c>
      <c r="J246" s="14">
        <v>10.000672107851521</v>
      </c>
    </row>
    <row r="247" spans="1:10" ht="15.75" x14ac:dyDescent="0.5">
      <c r="A247" s="13" t="s">
        <v>263</v>
      </c>
      <c r="B247" s="13" t="s">
        <v>405</v>
      </c>
      <c r="C247" s="13" t="s">
        <v>400</v>
      </c>
      <c r="D247" s="14">
        <v>1259.3891290889942</v>
      </c>
      <c r="E247" s="14">
        <v>1335.6106025173835</v>
      </c>
      <c r="F247" s="14">
        <v>1339.2317819485595</v>
      </c>
      <c r="G247" s="14">
        <v>1331.8451407572438</v>
      </c>
      <c r="H247" s="14">
        <v>963.42191829737658</v>
      </c>
      <c r="I247" s="14">
        <v>492.63114024335778</v>
      </c>
      <c r="J247" s="14">
        <v>136.00800174031906</v>
      </c>
    </row>
    <row r="248" spans="1:10" ht="15.75" x14ac:dyDescent="0.5">
      <c r="A248" s="13" t="s">
        <v>263</v>
      </c>
      <c r="B248" s="13" t="s">
        <v>406</v>
      </c>
      <c r="C248" s="13" t="s">
        <v>400</v>
      </c>
      <c r="D248" s="14">
        <v>23.479196814299328</v>
      </c>
      <c r="E248" s="14">
        <v>20.702575610972129</v>
      </c>
      <c r="F248" s="14">
        <v>43.840950143246943</v>
      </c>
      <c r="G248" s="14">
        <v>51.899789707019046</v>
      </c>
      <c r="H248" s="14">
        <v>69.913012826291478</v>
      </c>
      <c r="I248" s="14">
        <v>79.119859529529819</v>
      </c>
      <c r="J248" s="14">
        <v>141.94954402150049</v>
      </c>
    </row>
    <row r="249" spans="1:10" ht="15.75" x14ac:dyDescent="0.5">
      <c r="A249" s="13" t="s">
        <v>263</v>
      </c>
      <c r="B249" s="13" t="s">
        <v>407</v>
      </c>
      <c r="C249" s="13" t="s">
        <v>400</v>
      </c>
      <c r="D249" s="14" t="s">
        <v>250</v>
      </c>
      <c r="E249" s="14">
        <v>114.41510460249502</v>
      </c>
      <c r="F249" s="14">
        <v>94.03876411757048</v>
      </c>
      <c r="G249" s="14">
        <v>319.80330818448158</v>
      </c>
      <c r="H249" s="14">
        <v>240.65354031571286</v>
      </c>
      <c r="I249" s="14">
        <v>31.430455122315699</v>
      </c>
      <c r="J249" s="14">
        <v>63.39969340424696</v>
      </c>
    </row>
    <row r="250" spans="1:10" ht="15.75" x14ac:dyDescent="0.5">
      <c r="A250" s="13" t="s">
        <v>263</v>
      </c>
      <c r="B250" s="13" t="s">
        <v>408</v>
      </c>
      <c r="C250" s="13" t="s">
        <v>400</v>
      </c>
      <c r="D250" s="14">
        <v>46.892290321001227</v>
      </c>
      <c r="E250" s="14">
        <v>35.10275218651018</v>
      </c>
      <c r="F250" s="14">
        <v>31.50704607848321</v>
      </c>
      <c r="G250" s="14">
        <v>46.958770175435589</v>
      </c>
      <c r="H250" s="14">
        <v>45.324763499665984</v>
      </c>
      <c r="I250" s="14">
        <v>31.824233376228598</v>
      </c>
      <c r="J250" s="14">
        <v>30.572815015911129</v>
      </c>
    </row>
    <row r="251" spans="1:10" ht="15.75" x14ac:dyDescent="0.5">
      <c r="A251" s="13" t="s">
        <v>263</v>
      </c>
      <c r="B251" s="13" t="s">
        <v>409</v>
      </c>
      <c r="C251" s="13" t="s">
        <v>400</v>
      </c>
      <c r="D251" s="14">
        <v>18.365704270000034</v>
      </c>
      <c r="E251" s="14">
        <v>18.365704270000034</v>
      </c>
      <c r="F251" s="14">
        <v>18.365704270000034</v>
      </c>
      <c r="G251" s="14">
        <v>18.365704270000037</v>
      </c>
      <c r="H251" s="14">
        <v>18.36570427000003</v>
      </c>
      <c r="I251" s="14">
        <v>18.213155426005059</v>
      </c>
      <c r="J251" s="14">
        <v>18.365704270000034</v>
      </c>
    </row>
    <row r="252" spans="1:10" ht="15.75" x14ac:dyDescent="0.5">
      <c r="A252" s="13" t="s">
        <v>263</v>
      </c>
      <c r="B252" s="13" t="s">
        <v>410</v>
      </c>
      <c r="C252" s="13" t="s">
        <v>400</v>
      </c>
      <c r="D252" s="14">
        <v>245.79356253202215</v>
      </c>
      <c r="E252" s="14">
        <v>245.0708869874278</v>
      </c>
      <c r="F252" s="14">
        <v>246.12445039394572</v>
      </c>
      <c r="G252" s="14">
        <v>246.1244503939422</v>
      </c>
      <c r="H252" s="14">
        <v>246.16997594138519</v>
      </c>
      <c r="I252" s="14">
        <v>246.02663648610437</v>
      </c>
      <c r="J252" s="14">
        <v>246.05017792070382</v>
      </c>
    </row>
    <row r="253" spans="1:10" ht="15.75" x14ac:dyDescent="0.5">
      <c r="A253" s="13" t="s">
        <v>263</v>
      </c>
      <c r="B253" s="13" t="s">
        <v>411</v>
      </c>
      <c r="C253" s="13" t="s">
        <v>400</v>
      </c>
      <c r="D253" s="14">
        <v>7.1394000000000153</v>
      </c>
      <c r="E253" s="14">
        <v>5.8260569343065818</v>
      </c>
      <c r="F253" s="14" t="s">
        <v>250</v>
      </c>
      <c r="G253" s="14" t="s">
        <v>250</v>
      </c>
      <c r="H253" s="14" t="s">
        <v>250</v>
      </c>
      <c r="I253" s="14" t="s">
        <v>250</v>
      </c>
      <c r="J253" s="14" t="s">
        <v>250</v>
      </c>
    </row>
    <row r="254" spans="1:10" ht="15.75" x14ac:dyDescent="0.5">
      <c r="A254" s="13" t="s">
        <v>263</v>
      </c>
      <c r="B254" s="13" t="s">
        <v>412</v>
      </c>
      <c r="C254" s="13" t="s">
        <v>400</v>
      </c>
      <c r="D254" s="14">
        <v>760.72545968400186</v>
      </c>
      <c r="E254" s="14">
        <v>749.95918922383055</v>
      </c>
      <c r="F254" s="14">
        <v>651.6606450654258</v>
      </c>
      <c r="G254" s="14">
        <v>956.87511842294884</v>
      </c>
      <c r="H254" s="14">
        <v>1650.7081698233787</v>
      </c>
      <c r="I254" s="14">
        <v>2352.3115133949123</v>
      </c>
      <c r="J254" s="14">
        <v>3109.8563722845397</v>
      </c>
    </row>
    <row r="255" spans="1:10" ht="15.75" x14ac:dyDescent="0.5">
      <c r="A255" s="13" t="s">
        <v>263</v>
      </c>
      <c r="B255" s="13" t="s">
        <v>413</v>
      </c>
      <c r="C255" s="13" t="s">
        <v>400</v>
      </c>
      <c r="D255" s="14">
        <v>23.702927619886133</v>
      </c>
      <c r="E255" s="14">
        <v>20.849127034775137</v>
      </c>
      <c r="F255" s="14">
        <v>6.0385540017600468</v>
      </c>
      <c r="G255" s="14">
        <v>2.3745287873774004</v>
      </c>
      <c r="H255" s="14">
        <v>1.3470325254426796</v>
      </c>
      <c r="I255" s="14">
        <v>0.17434598415754912</v>
      </c>
      <c r="J255" s="14">
        <v>8.6878771486192108E-2</v>
      </c>
    </row>
    <row r="256" spans="1:10" ht="15.75" x14ac:dyDescent="0.5">
      <c r="A256" s="13" t="s">
        <v>263</v>
      </c>
      <c r="B256" s="13" t="s">
        <v>414</v>
      </c>
      <c r="C256" s="13" t="s">
        <v>400</v>
      </c>
      <c r="D256" s="14">
        <v>0.6803907705109502</v>
      </c>
      <c r="E256" s="14">
        <v>24.088891780416809</v>
      </c>
      <c r="F256" s="14">
        <v>94.649109464931584</v>
      </c>
      <c r="G256" s="14">
        <v>188.6534451578365</v>
      </c>
      <c r="H256" s="14">
        <v>228.20855171259615</v>
      </c>
      <c r="I256" s="14">
        <v>228.78585645681221</v>
      </c>
      <c r="J256" s="14">
        <v>229.19821698839561</v>
      </c>
    </row>
    <row r="257" spans="1:10" ht="15.75" x14ac:dyDescent="0.5">
      <c r="A257" s="13" t="s">
        <v>263</v>
      </c>
      <c r="B257" s="13" t="s">
        <v>415</v>
      </c>
      <c r="C257" s="13" t="s">
        <v>400</v>
      </c>
      <c r="D257" s="14">
        <v>440.53124483255556</v>
      </c>
      <c r="E257" s="14">
        <v>870.85529837672368</v>
      </c>
      <c r="F257" s="14">
        <v>1350.5199448178814</v>
      </c>
      <c r="G257" s="14">
        <v>1526.5569320967277</v>
      </c>
      <c r="H257" s="14">
        <v>2154.3948757655157</v>
      </c>
      <c r="I257" s="14">
        <v>2808.0025991108942</v>
      </c>
      <c r="J257" s="14">
        <v>2823.8675162460822</v>
      </c>
    </row>
    <row r="258" spans="1:10" ht="15.75" x14ac:dyDescent="0.5">
      <c r="A258" s="13" t="s">
        <v>263</v>
      </c>
      <c r="B258" s="13" t="s">
        <v>416</v>
      </c>
      <c r="C258" s="13" t="s">
        <v>400</v>
      </c>
      <c r="D258" s="14" t="s">
        <v>250</v>
      </c>
      <c r="E258" s="14">
        <v>54.174742594980977</v>
      </c>
      <c r="F258" s="14">
        <v>66.675949052097465</v>
      </c>
      <c r="G258" s="14">
        <v>76.801435170202112</v>
      </c>
      <c r="H258" s="14">
        <v>77.990654991853702</v>
      </c>
      <c r="I258" s="14">
        <v>82.683057309487666</v>
      </c>
      <c r="J258" s="14">
        <v>94.727837483420984</v>
      </c>
    </row>
    <row r="259" spans="1:10" ht="15.75" x14ac:dyDescent="0.5">
      <c r="A259" s="13" t="s">
        <v>263</v>
      </c>
      <c r="B259" s="13" t="s">
        <v>417</v>
      </c>
      <c r="C259" s="13" t="s">
        <v>400</v>
      </c>
      <c r="D259" s="14">
        <v>187.48709633408697</v>
      </c>
      <c r="E259" s="14">
        <v>302.72177885897452</v>
      </c>
      <c r="F259" s="14">
        <v>345.44333072737459</v>
      </c>
      <c r="G259" s="14">
        <v>592.9224454592129</v>
      </c>
      <c r="H259" s="14">
        <v>1057.2626796925877</v>
      </c>
      <c r="I259" s="14">
        <v>1497.6366548730057</v>
      </c>
      <c r="J259" s="14">
        <v>1566.5186078909373</v>
      </c>
    </row>
    <row r="260" spans="1:10" ht="15.75" x14ac:dyDescent="0.5">
      <c r="A260" s="13" t="s">
        <v>263</v>
      </c>
      <c r="B260" s="13" t="s">
        <v>418</v>
      </c>
      <c r="C260" s="13" t="s">
        <v>400</v>
      </c>
      <c r="D260" s="14">
        <v>3.184175173101953</v>
      </c>
      <c r="E260" s="14">
        <v>3.1841751731019534</v>
      </c>
      <c r="F260" s="14">
        <v>3.1841751731019539</v>
      </c>
      <c r="G260" s="14">
        <v>3.184175173101953</v>
      </c>
      <c r="H260" s="14">
        <v>3.1841751731019534</v>
      </c>
      <c r="I260" s="14">
        <v>3.184175173101953</v>
      </c>
      <c r="J260" s="14">
        <v>3.1841751731019534</v>
      </c>
    </row>
    <row r="261" spans="1:10" ht="15.75" x14ac:dyDescent="0.5">
      <c r="A261" s="13" t="s">
        <v>263</v>
      </c>
      <c r="B261" s="13" t="s">
        <v>419</v>
      </c>
      <c r="C261" s="13" t="s">
        <v>400</v>
      </c>
      <c r="D261" s="14">
        <v>0.54465920264079504</v>
      </c>
      <c r="E261" s="14">
        <v>8.1781111391368508</v>
      </c>
      <c r="F261" s="14">
        <v>20.411123839565171</v>
      </c>
      <c r="G261" s="14">
        <v>49.877953018211578</v>
      </c>
      <c r="H261" s="14">
        <v>117.52423887146497</v>
      </c>
      <c r="I261" s="14">
        <v>276.75178367336633</v>
      </c>
      <c r="J261" s="14">
        <v>289.59518631131613</v>
      </c>
    </row>
    <row r="262" spans="1:10" ht="15.75" x14ac:dyDescent="0.5">
      <c r="A262" s="13" t="s">
        <v>263</v>
      </c>
      <c r="B262" s="13" t="s">
        <v>420</v>
      </c>
      <c r="C262" s="13" t="s">
        <v>400</v>
      </c>
      <c r="D262" s="14">
        <v>-13.987252957808371</v>
      </c>
      <c r="E262" s="14">
        <v>-13.957334170032475</v>
      </c>
      <c r="F262" s="14">
        <v>-14.087587834147151</v>
      </c>
      <c r="G262" s="14">
        <v>-12.843203725993572</v>
      </c>
      <c r="H262" s="14">
        <v>-13.723940413074835</v>
      </c>
      <c r="I262" s="14">
        <v>-17.978498834818605</v>
      </c>
      <c r="J262" s="14">
        <v>-19.717891105164625</v>
      </c>
    </row>
    <row r="263" spans="1:10" ht="15.75" x14ac:dyDescent="0.5">
      <c r="A263" s="13" t="s">
        <v>264</v>
      </c>
      <c r="B263" s="13" t="s">
        <v>399</v>
      </c>
      <c r="C263" s="13" t="s">
        <v>400</v>
      </c>
      <c r="D263" s="14">
        <v>7.2499064625597898</v>
      </c>
      <c r="E263" s="14">
        <v>4.2389343065693544E-2</v>
      </c>
      <c r="F263" s="14">
        <v>0.51246000000000103</v>
      </c>
      <c r="G263" s="14">
        <v>2.1631876383182673</v>
      </c>
      <c r="H263" s="14">
        <v>1.4335918986689162</v>
      </c>
      <c r="I263" s="14">
        <v>0.52588896350365066</v>
      </c>
      <c r="J263" s="14">
        <v>4.5538033564932991</v>
      </c>
    </row>
    <row r="264" spans="1:10" ht="15.75" x14ac:dyDescent="0.5">
      <c r="A264" s="13" t="s">
        <v>264</v>
      </c>
      <c r="B264" s="13" t="s">
        <v>401</v>
      </c>
      <c r="C264" s="13" t="s">
        <v>400</v>
      </c>
      <c r="D264" s="14" t="s">
        <v>250</v>
      </c>
      <c r="E264" s="14" t="s">
        <v>250</v>
      </c>
      <c r="F264" s="14">
        <v>144.40882855806902</v>
      </c>
      <c r="G264" s="14">
        <v>144.40882855806905</v>
      </c>
      <c r="H264" s="14">
        <v>38.603934152003092</v>
      </c>
      <c r="I264" s="14">
        <v>20.785011370738044</v>
      </c>
      <c r="J264" s="14" t="s">
        <v>250</v>
      </c>
    </row>
    <row r="265" spans="1:10" ht="15.75" x14ac:dyDescent="0.5">
      <c r="A265" s="13" t="s">
        <v>264</v>
      </c>
      <c r="B265" s="13" t="s">
        <v>402</v>
      </c>
      <c r="C265" s="13" t="s">
        <v>400</v>
      </c>
      <c r="D265" s="14">
        <v>1072.9916742877463</v>
      </c>
      <c r="E265" s="14">
        <v>402.43497404421402</v>
      </c>
      <c r="F265" s="14">
        <v>161.88773179675613</v>
      </c>
      <c r="G265" s="14">
        <v>107.65692844125243</v>
      </c>
      <c r="H265" s="14">
        <v>116.98118413749465</v>
      </c>
      <c r="I265" s="14">
        <v>47.657293127700918</v>
      </c>
      <c r="J265" s="14" t="s">
        <v>250</v>
      </c>
    </row>
    <row r="266" spans="1:10" ht="15.75" x14ac:dyDescent="0.5">
      <c r="A266" s="13" t="s">
        <v>264</v>
      </c>
      <c r="B266" s="13" t="s">
        <v>403</v>
      </c>
      <c r="C266" s="13" t="s">
        <v>400</v>
      </c>
      <c r="D266" s="14" t="s">
        <v>250</v>
      </c>
      <c r="E266" s="14" t="s">
        <v>250</v>
      </c>
      <c r="F266" s="14">
        <v>80.717388913253288</v>
      </c>
      <c r="G266" s="14">
        <v>80.717388913253274</v>
      </c>
      <c r="H266" s="14">
        <v>16.291648930964609</v>
      </c>
      <c r="I266" s="14">
        <v>16.291648930964602</v>
      </c>
      <c r="J266" s="14" t="s">
        <v>250</v>
      </c>
    </row>
    <row r="267" spans="1:10" ht="15.75" x14ac:dyDescent="0.5">
      <c r="A267" s="13" t="s">
        <v>264</v>
      </c>
      <c r="B267" s="13" t="s">
        <v>404</v>
      </c>
      <c r="C267" s="13" t="s">
        <v>400</v>
      </c>
      <c r="D267" s="14" t="s">
        <v>250</v>
      </c>
      <c r="E267" s="14" t="s">
        <v>250</v>
      </c>
      <c r="F267" s="14" t="s">
        <v>250</v>
      </c>
      <c r="G267" s="14" t="s">
        <v>250</v>
      </c>
      <c r="H267" s="14" t="s">
        <v>250</v>
      </c>
      <c r="I267" s="14">
        <v>0.33069896914528524</v>
      </c>
      <c r="J267" s="14">
        <v>60.531770007680556</v>
      </c>
    </row>
    <row r="268" spans="1:10" ht="15.75" x14ac:dyDescent="0.5">
      <c r="A268" s="13" t="s">
        <v>264</v>
      </c>
      <c r="B268" s="13" t="s">
        <v>421</v>
      </c>
      <c r="C268" s="13" t="s">
        <v>400</v>
      </c>
      <c r="D268" s="14" t="s">
        <v>250</v>
      </c>
      <c r="E268" s="14" t="s">
        <v>250</v>
      </c>
      <c r="F268" s="14" t="s">
        <v>250</v>
      </c>
      <c r="G268" s="14">
        <v>443.49047718164132</v>
      </c>
      <c r="H268" s="14">
        <v>1186.2320680700204</v>
      </c>
      <c r="I268" s="14">
        <v>1172.3622627831783</v>
      </c>
      <c r="J268" s="14">
        <v>901.88429330291603</v>
      </c>
    </row>
    <row r="269" spans="1:10" ht="15.75" x14ac:dyDescent="0.5">
      <c r="A269" s="13" t="s">
        <v>264</v>
      </c>
      <c r="B269" s="13" t="s">
        <v>405</v>
      </c>
      <c r="C269" s="13" t="s">
        <v>400</v>
      </c>
      <c r="D269" s="14">
        <v>1259.3891290889935</v>
      </c>
      <c r="E269" s="14">
        <v>1336.3469013125127</v>
      </c>
      <c r="F269" s="14">
        <v>1375.3995436502576</v>
      </c>
      <c r="G269" s="14">
        <v>1281.0893894065728</v>
      </c>
      <c r="H269" s="14">
        <v>791.51479681697629</v>
      </c>
      <c r="I269" s="14">
        <v>507.57068742677882</v>
      </c>
      <c r="J269" s="14">
        <v>201.39262615703143</v>
      </c>
    </row>
    <row r="270" spans="1:10" ht="15.75" x14ac:dyDescent="0.5">
      <c r="A270" s="13" t="s">
        <v>264</v>
      </c>
      <c r="B270" s="13" t="s">
        <v>406</v>
      </c>
      <c r="C270" s="13" t="s">
        <v>400</v>
      </c>
      <c r="D270" s="14">
        <v>23.479196814299332</v>
      </c>
      <c r="E270" s="14">
        <v>21.5916627535705</v>
      </c>
      <c r="F270" s="14">
        <v>43.800377706306051</v>
      </c>
      <c r="G270" s="14">
        <v>48.938330370339862</v>
      </c>
      <c r="H270" s="14">
        <v>60.811411862192045</v>
      </c>
      <c r="I270" s="14">
        <v>59.624302515876586</v>
      </c>
      <c r="J270" s="14">
        <v>70.407276117336281</v>
      </c>
    </row>
    <row r="271" spans="1:10" ht="15.75" x14ac:dyDescent="0.5">
      <c r="A271" s="13" t="s">
        <v>264</v>
      </c>
      <c r="B271" s="13" t="s">
        <v>407</v>
      </c>
      <c r="C271" s="13" t="s">
        <v>400</v>
      </c>
      <c r="D271" s="14" t="s">
        <v>250</v>
      </c>
      <c r="E271" s="14">
        <v>115.50295265535213</v>
      </c>
      <c r="F271" s="14">
        <v>100.52640416365065</v>
      </c>
      <c r="G271" s="14">
        <v>297.60751678387311</v>
      </c>
      <c r="H271" s="14">
        <v>254.49790519026567</v>
      </c>
      <c r="I271" s="14">
        <v>67.745616781415464</v>
      </c>
      <c r="J271" s="14">
        <v>248.37399070179725</v>
      </c>
    </row>
    <row r="272" spans="1:10" ht="15.75" x14ac:dyDescent="0.5">
      <c r="A272" s="13" t="s">
        <v>264</v>
      </c>
      <c r="B272" s="13" t="s">
        <v>408</v>
      </c>
      <c r="C272" s="13" t="s">
        <v>400</v>
      </c>
      <c r="D272" s="14">
        <v>46.892290321001227</v>
      </c>
      <c r="E272" s="14">
        <v>35.167095677056388</v>
      </c>
      <c r="F272" s="14">
        <v>31.968207390252743</v>
      </c>
      <c r="G272" s="14">
        <v>46.765920283871658</v>
      </c>
      <c r="H272" s="14">
        <v>44.819195914065361</v>
      </c>
      <c r="I272" s="14">
        <v>39.883316429104184</v>
      </c>
      <c r="J272" s="14">
        <v>45.195071434597779</v>
      </c>
    </row>
    <row r="273" spans="1:10" ht="15.75" x14ac:dyDescent="0.5">
      <c r="A273" s="13" t="s">
        <v>264</v>
      </c>
      <c r="B273" s="13" t="s">
        <v>409</v>
      </c>
      <c r="C273" s="13" t="s">
        <v>400</v>
      </c>
      <c r="D273" s="14">
        <v>18.365704270000037</v>
      </c>
      <c r="E273" s="14">
        <v>18.36570427000003</v>
      </c>
      <c r="F273" s="14">
        <v>18.365704270000034</v>
      </c>
      <c r="G273" s="14">
        <v>18.365704270000037</v>
      </c>
      <c r="H273" s="14">
        <v>18.365704270000037</v>
      </c>
      <c r="I273" s="14">
        <v>18.365704270000034</v>
      </c>
      <c r="J273" s="14">
        <v>18.289488188933149</v>
      </c>
    </row>
    <row r="274" spans="1:10" ht="15.75" x14ac:dyDescent="0.5">
      <c r="A274" s="13" t="s">
        <v>264</v>
      </c>
      <c r="B274" s="13" t="s">
        <v>410</v>
      </c>
      <c r="C274" s="13" t="s">
        <v>400</v>
      </c>
      <c r="D274" s="14">
        <v>245.79356253202221</v>
      </c>
      <c r="E274" s="14">
        <v>245.05208677471651</v>
      </c>
      <c r="F274" s="14">
        <v>246.11741955411659</v>
      </c>
      <c r="G274" s="14">
        <v>246.16741127459704</v>
      </c>
      <c r="H274" s="14">
        <v>246.00466889451872</v>
      </c>
      <c r="I274" s="14">
        <v>246.16997594139104</v>
      </c>
      <c r="J274" s="14">
        <v>246.16997594140503</v>
      </c>
    </row>
    <row r="275" spans="1:10" ht="15.75" x14ac:dyDescent="0.5">
      <c r="A275" s="13" t="s">
        <v>264</v>
      </c>
      <c r="B275" s="13" t="s">
        <v>411</v>
      </c>
      <c r="C275" s="13" t="s">
        <v>400</v>
      </c>
      <c r="D275" s="14">
        <v>7.1394000000000188</v>
      </c>
      <c r="E275" s="14">
        <v>5.8087296150000762</v>
      </c>
      <c r="F275" s="14" t="s">
        <v>250</v>
      </c>
      <c r="G275" s="14" t="s">
        <v>250</v>
      </c>
      <c r="H275" s="14" t="s">
        <v>250</v>
      </c>
      <c r="I275" s="14" t="s">
        <v>250</v>
      </c>
      <c r="J275" s="14" t="s">
        <v>250</v>
      </c>
    </row>
    <row r="276" spans="1:10" ht="15.75" x14ac:dyDescent="0.5">
      <c r="A276" s="13" t="s">
        <v>264</v>
      </c>
      <c r="B276" s="13" t="s">
        <v>412</v>
      </c>
      <c r="C276" s="13" t="s">
        <v>400</v>
      </c>
      <c r="D276" s="14">
        <v>760.72545968400163</v>
      </c>
      <c r="E276" s="14">
        <v>748.05693964626403</v>
      </c>
      <c r="F276" s="14">
        <v>644.55259008428936</v>
      </c>
      <c r="G276" s="14">
        <v>712.67256291954413</v>
      </c>
      <c r="H276" s="14">
        <v>716.07820598613466</v>
      </c>
      <c r="I276" s="14">
        <v>614.91902313160836</v>
      </c>
      <c r="J276" s="14">
        <v>679.02299687234449</v>
      </c>
    </row>
    <row r="277" spans="1:10" ht="15.75" x14ac:dyDescent="0.5">
      <c r="A277" s="13" t="s">
        <v>264</v>
      </c>
      <c r="B277" s="13" t="s">
        <v>413</v>
      </c>
      <c r="C277" s="13" t="s">
        <v>400</v>
      </c>
      <c r="D277" s="14">
        <v>23.702927619886133</v>
      </c>
      <c r="E277" s="14">
        <v>20.898780821895549</v>
      </c>
      <c r="F277" s="14">
        <v>6.1716533672869645</v>
      </c>
      <c r="G277" s="14">
        <v>2.2508646276585536</v>
      </c>
      <c r="H277" s="14">
        <v>1.289579995010484</v>
      </c>
      <c r="I277" s="14">
        <v>2.7426381022577277E-2</v>
      </c>
      <c r="J277" s="14" t="s">
        <v>250</v>
      </c>
    </row>
    <row r="278" spans="1:10" ht="15.75" x14ac:dyDescent="0.5">
      <c r="A278" s="13" t="s">
        <v>264</v>
      </c>
      <c r="B278" s="13" t="s">
        <v>414</v>
      </c>
      <c r="C278" s="13" t="s">
        <v>400</v>
      </c>
      <c r="D278" s="14">
        <v>0.6803907705109502</v>
      </c>
      <c r="E278" s="14">
        <v>24.062027500498459</v>
      </c>
      <c r="F278" s="14">
        <v>94.579024738891903</v>
      </c>
      <c r="G278" s="14">
        <v>188.66295591370826</v>
      </c>
      <c r="H278" s="14">
        <v>228.2201568706507</v>
      </c>
      <c r="I278" s="14">
        <v>228.79749544210233</v>
      </c>
      <c r="J278" s="14">
        <v>229.209880135997</v>
      </c>
    </row>
    <row r="279" spans="1:10" ht="15.75" x14ac:dyDescent="0.5">
      <c r="A279" s="13" t="s">
        <v>264</v>
      </c>
      <c r="B279" s="13" t="s">
        <v>415</v>
      </c>
      <c r="C279" s="13" t="s">
        <v>400</v>
      </c>
      <c r="D279" s="14">
        <v>440.53124483255567</v>
      </c>
      <c r="E279" s="14">
        <v>870.81150727890963</v>
      </c>
      <c r="F279" s="14">
        <v>1358.4836214888321</v>
      </c>
      <c r="G279" s="14">
        <v>1510.8176956252846</v>
      </c>
      <c r="H279" s="14">
        <v>2111.4488099717105</v>
      </c>
      <c r="I279" s="14">
        <v>3036.8947935074693</v>
      </c>
      <c r="J279" s="14">
        <v>3408.971610715867</v>
      </c>
    </row>
    <row r="280" spans="1:10" ht="15.75" x14ac:dyDescent="0.5">
      <c r="A280" s="13" t="s">
        <v>264</v>
      </c>
      <c r="B280" s="13" t="s">
        <v>416</v>
      </c>
      <c r="C280" s="13" t="s">
        <v>400</v>
      </c>
      <c r="D280" s="14" t="s">
        <v>250</v>
      </c>
      <c r="E280" s="14">
        <v>54.174742594980998</v>
      </c>
      <c r="F280" s="14">
        <v>66.675949052097494</v>
      </c>
      <c r="G280" s="14">
        <v>76.801435170202112</v>
      </c>
      <c r="H280" s="14">
        <v>77.990654991853702</v>
      </c>
      <c r="I280" s="14">
        <v>82.683057309487666</v>
      </c>
      <c r="J280" s="14">
        <v>94.727837483420913</v>
      </c>
    </row>
    <row r="281" spans="1:10" ht="15.75" x14ac:dyDescent="0.5">
      <c r="A281" s="13" t="s">
        <v>264</v>
      </c>
      <c r="B281" s="13" t="s">
        <v>417</v>
      </c>
      <c r="C281" s="13" t="s">
        <v>400</v>
      </c>
      <c r="D281" s="14">
        <v>187.487096334087</v>
      </c>
      <c r="E281" s="14">
        <v>302.7701112705426</v>
      </c>
      <c r="F281" s="14">
        <v>345.45268333660096</v>
      </c>
      <c r="G281" s="14">
        <v>551.70792236302373</v>
      </c>
      <c r="H281" s="14">
        <v>1038.3171133738203</v>
      </c>
      <c r="I281" s="14">
        <v>2126.4992087130777</v>
      </c>
      <c r="J281" s="14">
        <v>2471.7115061605455</v>
      </c>
    </row>
    <row r="282" spans="1:10" ht="15.75" x14ac:dyDescent="0.5">
      <c r="A282" s="13" t="s">
        <v>264</v>
      </c>
      <c r="B282" s="13" t="s">
        <v>418</v>
      </c>
      <c r="C282" s="13" t="s">
        <v>400</v>
      </c>
      <c r="D282" s="14">
        <v>3.184175173101953</v>
      </c>
      <c r="E282" s="14">
        <v>3.1841751731019534</v>
      </c>
      <c r="F282" s="14">
        <v>3.1841751731019534</v>
      </c>
      <c r="G282" s="14">
        <v>3.1841751731019525</v>
      </c>
      <c r="H282" s="14">
        <v>3.1841751731019539</v>
      </c>
      <c r="I282" s="14">
        <v>3.1841751731019534</v>
      </c>
      <c r="J282" s="14">
        <v>3.1841751731019525</v>
      </c>
    </row>
    <row r="283" spans="1:10" ht="15.75" x14ac:dyDescent="0.5">
      <c r="A283" s="13" t="s">
        <v>264</v>
      </c>
      <c r="B283" s="13" t="s">
        <v>419</v>
      </c>
      <c r="C283" s="13" t="s">
        <v>400</v>
      </c>
      <c r="D283" s="14">
        <v>0.54465920264079493</v>
      </c>
      <c r="E283" s="14">
        <v>8.4577938053487127</v>
      </c>
      <c r="F283" s="14">
        <v>21.125897160992753</v>
      </c>
      <c r="G283" s="14">
        <v>49.224936773693209</v>
      </c>
      <c r="H283" s="14">
        <v>155.19885199113537</v>
      </c>
      <c r="I283" s="14">
        <v>705.33157946022573</v>
      </c>
      <c r="J283" s="14">
        <v>1354.0354125000176</v>
      </c>
    </row>
    <row r="284" spans="1:10" ht="15.75" x14ac:dyDescent="0.5">
      <c r="A284" s="13" t="s">
        <v>264</v>
      </c>
      <c r="B284" s="13" t="s">
        <v>420</v>
      </c>
      <c r="C284" s="13" t="s">
        <v>400</v>
      </c>
      <c r="D284" s="14">
        <v>-13.987252957808359</v>
      </c>
      <c r="E284" s="14">
        <v>-13.729233829727647</v>
      </c>
      <c r="F284" s="14">
        <v>-13.689199914506418</v>
      </c>
      <c r="G284" s="14">
        <v>-12.504791926279992</v>
      </c>
      <c r="H284" s="14">
        <v>-14.165701369121534</v>
      </c>
      <c r="I284" s="14">
        <v>-15.925903209144302</v>
      </c>
      <c r="J284" s="14">
        <v>-15.260592547895572</v>
      </c>
    </row>
    <row r="285" spans="1:10" ht="15.75" x14ac:dyDescent="0.5">
      <c r="A285" s="13" t="s">
        <v>265</v>
      </c>
      <c r="B285" s="13" t="s">
        <v>399</v>
      </c>
      <c r="C285" s="13" t="s">
        <v>400</v>
      </c>
      <c r="D285" s="14">
        <v>7.2499064625597898</v>
      </c>
      <c r="E285" s="14">
        <v>4.2389343065693544E-2</v>
      </c>
      <c r="F285" s="14">
        <v>0.51246000000000114</v>
      </c>
      <c r="G285" s="14">
        <v>2.168379997806051</v>
      </c>
      <c r="H285" s="14">
        <v>1.6044586701930097</v>
      </c>
      <c r="I285" s="14">
        <v>0.84570595620438116</v>
      </c>
      <c r="J285" s="14">
        <v>3.3520998134466575</v>
      </c>
    </row>
    <row r="286" spans="1:10" ht="15.75" x14ac:dyDescent="0.5">
      <c r="A286" s="13" t="s">
        <v>265</v>
      </c>
      <c r="B286" s="13" t="s">
        <v>401</v>
      </c>
      <c r="C286" s="13" t="s">
        <v>400</v>
      </c>
      <c r="D286" s="14" t="s">
        <v>250</v>
      </c>
      <c r="E286" s="14" t="s">
        <v>250</v>
      </c>
      <c r="F286" s="14">
        <v>148.05495284674507</v>
      </c>
      <c r="G286" s="14">
        <v>148.05495284674507</v>
      </c>
      <c r="H286" s="14">
        <v>39.13491106628129</v>
      </c>
      <c r="I286" s="14">
        <v>23.071739780456397</v>
      </c>
      <c r="J286" s="14" t="s">
        <v>250</v>
      </c>
    </row>
    <row r="287" spans="1:10" ht="15.75" x14ac:dyDescent="0.5">
      <c r="A287" s="13" t="s">
        <v>265</v>
      </c>
      <c r="B287" s="13" t="s">
        <v>402</v>
      </c>
      <c r="C287" s="13" t="s">
        <v>400</v>
      </c>
      <c r="D287" s="14">
        <v>1072.9916742877465</v>
      </c>
      <c r="E287" s="14">
        <v>403.03679596695906</v>
      </c>
      <c r="F287" s="14">
        <v>160.91715070128305</v>
      </c>
      <c r="G287" s="14">
        <v>108.04015133629525</v>
      </c>
      <c r="H287" s="14">
        <v>100.88202229250489</v>
      </c>
      <c r="I287" s="14">
        <v>47.24071039894806</v>
      </c>
      <c r="J287" s="14" t="s">
        <v>250</v>
      </c>
    </row>
    <row r="288" spans="1:10" ht="15.75" x14ac:dyDescent="0.5">
      <c r="A288" s="13" t="s">
        <v>265</v>
      </c>
      <c r="B288" s="13" t="s">
        <v>403</v>
      </c>
      <c r="C288" s="13" t="s">
        <v>400</v>
      </c>
      <c r="D288" s="14" t="s">
        <v>250</v>
      </c>
      <c r="E288" s="14" t="s">
        <v>250</v>
      </c>
      <c r="F288" s="14">
        <v>88.225461437536268</v>
      </c>
      <c r="G288" s="14">
        <v>88.225461437536296</v>
      </c>
      <c r="H288" s="14">
        <v>17.799229681778709</v>
      </c>
      <c r="I288" s="14">
        <v>17.799229681778709</v>
      </c>
      <c r="J288" s="14" t="s">
        <v>250</v>
      </c>
    </row>
    <row r="289" spans="1:10" ht="15.75" x14ac:dyDescent="0.5">
      <c r="A289" s="13" t="s">
        <v>265</v>
      </c>
      <c r="B289" s="13" t="s">
        <v>404</v>
      </c>
      <c r="C289" s="13" t="s">
        <v>400</v>
      </c>
      <c r="D289" s="14" t="s">
        <v>250</v>
      </c>
      <c r="E289" s="14" t="s">
        <v>250</v>
      </c>
      <c r="F289" s="14" t="s">
        <v>250</v>
      </c>
      <c r="G289" s="14" t="s">
        <v>250</v>
      </c>
      <c r="H289" s="14" t="s">
        <v>250</v>
      </c>
      <c r="I289" s="14">
        <v>0.33069896914528529</v>
      </c>
      <c r="J289" s="14">
        <v>22.290258042836772</v>
      </c>
    </row>
    <row r="290" spans="1:10" ht="15.75" x14ac:dyDescent="0.5">
      <c r="A290" s="13" t="s">
        <v>265</v>
      </c>
      <c r="B290" s="13" t="s">
        <v>421</v>
      </c>
      <c r="C290" s="13" t="s">
        <v>400</v>
      </c>
      <c r="D290" s="14" t="s">
        <v>250</v>
      </c>
      <c r="E290" s="14" t="s">
        <v>250</v>
      </c>
      <c r="F290" s="14" t="s">
        <v>250</v>
      </c>
      <c r="G290" s="14">
        <v>422.9840747418819</v>
      </c>
      <c r="H290" s="14">
        <v>1134.2643254531044</v>
      </c>
      <c r="I290" s="14">
        <v>1099.5267343158371</v>
      </c>
      <c r="J290" s="14">
        <v>281.4586261515513</v>
      </c>
    </row>
    <row r="291" spans="1:10" ht="15.75" x14ac:dyDescent="0.5">
      <c r="A291" s="13" t="s">
        <v>265</v>
      </c>
      <c r="B291" s="13" t="s">
        <v>405</v>
      </c>
      <c r="C291" s="13" t="s">
        <v>400</v>
      </c>
      <c r="D291" s="14">
        <v>1259.3891290889949</v>
      </c>
      <c r="E291" s="14">
        <v>1336.9243526290009</v>
      </c>
      <c r="F291" s="14">
        <v>1364.7168938422353</v>
      </c>
      <c r="G291" s="14">
        <v>1276.0251665000146</v>
      </c>
      <c r="H291" s="14">
        <v>835.43006579542271</v>
      </c>
      <c r="I291" s="14">
        <v>500.18439903023869</v>
      </c>
      <c r="J291" s="14">
        <v>188.57213213451411</v>
      </c>
    </row>
    <row r="292" spans="1:10" ht="15.75" x14ac:dyDescent="0.5">
      <c r="A292" s="13" t="s">
        <v>265</v>
      </c>
      <c r="B292" s="13" t="s">
        <v>406</v>
      </c>
      <c r="C292" s="13" t="s">
        <v>400</v>
      </c>
      <c r="D292" s="14">
        <v>23.479196814299325</v>
      </c>
      <c r="E292" s="14">
        <v>21.483058476134932</v>
      </c>
      <c r="F292" s="14">
        <v>43.869271704610185</v>
      </c>
      <c r="G292" s="14">
        <v>49.623481007233515</v>
      </c>
      <c r="H292" s="14">
        <v>64.754363870399217</v>
      </c>
      <c r="I292" s="14">
        <v>65.861948811176518</v>
      </c>
      <c r="J292" s="14">
        <v>91.119267431602992</v>
      </c>
    </row>
    <row r="293" spans="1:10" ht="15.75" x14ac:dyDescent="0.5">
      <c r="A293" s="13" t="s">
        <v>265</v>
      </c>
      <c r="B293" s="13" t="s">
        <v>407</v>
      </c>
      <c r="C293" s="13" t="s">
        <v>400</v>
      </c>
      <c r="D293" s="14" t="s">
        <v>250</v>
      </c>
      <c r="E293" s="14">
        <v>114.35646900749614</v>
      </c>
      <c r="F293" s="14">
        <v>100.95836460878684</v>
      </c>
      <c r="G293" s="14">
        <v>303.21512221560852</v>
      </c>
      <c r="H293" s="14">
        <v>241.81241884647801</v>
      </c>
      <c r="I293" s="14">
        <v>62.297299172774231</v>
      </c>
      <c r="J293" s="14">
        <v>174.03410945515634</v>
      </c>
    </row>
    <row r="294" spans="1:10" ht="15.75" x14ac:dyDescent="0.5">
      <c r="A294" s="13" t="s">
        <v>265</v>
      </c>
      <c r="B294" s="13" t="s">
        <v>408</v>
      </c>
      <c r="C294" s="13" t="s">
        <v>400</v>
      </c>
      <c r="D294" s="14">
        <v>46.892290321001241</v>
      </c>
      <c r="E294" s="14">
        <v>35.133344131081664</v>
      </c>
      <c r="F294" s="14">
        <v>31.9026573933671</v>
      </c>
      <c r="G294" s="14">
        <v>46.766066959943579</v>
      </c>
      <c r="H294" s="14">
        <v>44.804933005159874</v>
      </c>
      <c r="I294" s="14">
        <v>40.243839055575251</v>
      </c>
      <c r="J294" s="14">
        <v>44.89995092272509</v>
      </c>
    </row>
    <row r="295" spans="1:10" ht="15.75" x14ac:dyDescent="0.5">
      <c r="A295" s="13" t="s">
        <v>265</v>
      </c>
      <c r="B295" s="13" t="s">
        <v>409</v>
      </c>
      <c r="C295" s="13" t="s">
        <v>400</v>
      </c>
      <c r="D295" s="14">
        <v>18.365704270000034</v>
      </c>
      <c r="E295" s="14">
        <v>18.365704270000034</v>
      </c>
      <c r="F295" s="14">
        <v>18.36570427000003</v>
      </c>
      <c r="G295" s="14">
        <v>18.365704270000034</v>
      </c>
      <c r="H295" s="14">
        <v>18.365704270000034</v>
      </c>
      <c r="I295" s="14">
        <v>18.365704270000034</v>
      </c>
      <c r="J295" s="14">
        <v>18.365704270000041</v>
      </c>
    </row>
    <row r="296" spans="1:10" ht="15.75" x14ac:dyDescent="0.5">
      <c r="A296" s="13" t="s">
        <v>265</v>
      </c>
      <c r="B296" s="13" t="s">
        <v>410</v>
      </c>
      <c r="C296" s="13" t="s">
        <v>400</v>
      </c>
      <c r="D296" s="14">
        <v>245.79356253202209</v>
      </c>
      <c r="E296" s="14">
        <v>245.05517373759699</v>
      </c>
      <c r="F296" s="14">
        <v>246.12247754316522</v>
      </c>
      <c r="G296" s="14">
        <v>246.12550397943829</v>
      </c>
      <c r="H296" s="14">
        <v>246.16997594137061</v>
      </c>
      <c r="I296" s="14">
        <v>246.05707416036216</v>
      </c>
      <c r="J296" s="14">
        <v>246.1699759413564</v>
      </c>
    </row>
    <row r="297" spans="1:10" ht="15.75" x14ac:dyDescent="0.5">
      <c r="A297" s="13" t="s">
        <v>265</v>
      </c>
      <c r="B297" s="13" t="s">
        <v>411</v>
      </c>
      <c r="C297" s="13" t="s">
        <v>400</v>
      </c>
      <c r="D297" s="14">
        <v>7.1394000000000171</v>
      </c>
      <c r="E297" s="14">
        <v>5.8260569343065836</v>
      </c>
      <c r="F297" s="14" t="s">
        <v>250</v>
      </c>
      <c r="G297" s="14" t="s">
        <v>250</v>
      </c>
      <c r="H297" s="14" t="s">
        <v>250</v>
      </c>
      <c r="I297" s="14" t="s">
        <v>250</v>
      </c>
      <c r="J297" s="14" t="s">
        <v>250</v>
      </c>
    </row>
    <row r="298" spans="1:10" ht="15.75" x14ac:dyDescent="0.5">
      <c r="A298" s="13" t="s">
        <v>265</v>
      </c>
      <c r="B298" s="13" t="s">
        <v>412</v>
      </c>
      <c r="C298" s="13" t="s">
        <v>400</v>
      </c>
      <c r="D298" s="14">
        <v>760.72545968400163</v>
      </c>
      <c r="E298" s="14">
        <v>748.19785580199391</v>
      </c>
      <c r="F298" s="14">
        <v>644.56025881232722</v>
      </c>
      <c r="G298" s="14">
        <v>712.59896721434995</v>
      </c>
      <c r="H298" s="14">
        <v>715.27334171897337</v>
      </c>
      <c r="I298" s="14">
        <v>793.58624900582981</v>
      </c>
      <c r="J298" s="14">
        <v>1837.5219606686903</v>
      </c>
    </row>
    <row r="299" spans="1:10" ht="15.75" x14ac:dyDescent="0.5">
      <c r="A299" s="13" t="s">
        <v>265</v>
      </c>
      <c r="B299" s="13" t="s">
        <v>413</v>
      </c>
      <c r="C299" s="13" t="s">
        <v>400</v>
      </c>
      <c r="D299" s="14">
        <v>23.70292761988614</v>
      </c>
      <c r="E299" s="14">
        <v>20.942483245206486</v>
      </c>
      <c r="F299" s="14">
        <v>6.437900660427526</v>
      </c>
      <c r="G299" s="14">
        <v>2.307669894359178</v>
      </c>
      <c r="H299" s="14">
        <v>1.3714517176304135</v>
      </c>
      <c r="I299" s="14">
        <v>3.2832482651718495E-2</v>
      </c>
      <c r="J299" s="14" t="s">
        <v>250</v>
      </c>
    </row>
    <row r="300" spans="1:10" ht="15.75" x14ac:dyDescent="0.5">
      <c r="A300" s="13" t="s">
        <v>265</v>
      </c>
      <c r="B300" s="13" t="s">
        <v>414</v>
      </c>
      <c r="C300" s="13" t="s">
        <v>400</v>
      </c>
      <c r="D300" s="14">
        <v>0.68039077051095032</v>
      </c>
      <c r="E300" s="14">
        <v>24.0803928365027</v>
      </c>
      <c r="F300" s="14">
        <v>94.615151812396832</v>
      </c>
      <c r="G300" s="14">
        <v>188.62525370896878</v>
      </c>
      <c r="H300" s="14">
        <v>228.18231283943581</v>
      </c>
      <c r="I300" s="14">
        <v>228.75954110140654</v>
      </c>
      <c r="J300" s="14">
        <v>229.17184700281481</v>
      </c>
    </row>
    <row r="301" spans="1:10" ht="15.75" x14ac:dyDescent="0.5">
      <c r="A301" s="13" t="s">
        <v>265</v>
      </c>
      <c r="B301" s="13" t="s">
        <v>415</v>
      </c>
      <c r="C301" s="13" t="s">
        <v>400</v>
      </c>
      <c r="D301" s="14">
        <v>440.5312448325555</v>
      </c>
      <c r="E301" s="14">
        <v>870.81150700311832</v>
      </c>
      <c r="F301" s="14">
        <v>1358.3362427871123</v>
      </c>
      <c r="G301" s="14">
        <v>1515.7013075743648</v>
      </c>
      <c r="H301" s="14">
        <v>2141.885014068027</v>
      </c>
      <c r="I301" s="14">
        <v>3030.244379575136</v>
      </c>
      <c r="J301" s="14">
        <v>3291.7291364811181</v>
      </c>
    </row>
    <row r="302" spans="1:10" ht="15.75" x14ac:dyDescent="0.5">
      <c r="A302" s="13" t="s">
        <v>265</v>
      </c>
      <c r="B302" s="13" t="s">
        <v>416</v>
      </c>
      <c r="C302" s="13" t="s">
        <v>400</v>
      </c>
      <c r="D302" s="14" t="s">
        <v>250</v>
      </c>
      <c r="E302" s="14">
        <v>54.174742594980962</v>
      </c>
      <c r="F302" s="14">
        <v>66.675949052097508</v>
      </c>
      <c r="G302" s="14">
        <v>76.801435170202097</v>
      </c>
      <c r="H302" s="14">
        <v>77.990654991853717</v>
      </c>
      <c r="I302" s="14">
        <v>82.68305730948768</v>
      </c>
      <c r="J302" s="14">
        <v>94.72783748342097</v>
      </c>
    </row>
    <row r="303" spans="1:10" ht="15.75" x14ac:dyDescent="0.5">
      <c r="A303" s="13" t="s">
        <v>265</v>
      </c>
      <c r="B303" s="13" t="s">
        <v>417</v>
      </c>
      <c r="C303" s="13" t="s">
        <v>400</v>
      </c>
      <c r="D303" s="14">
        <v>187.48709633408691</v>
      </c>
      <c r="E303" s="14">
        <v>302.75551169035072</v>
      </c>
      <c r="F303" s="14">
        <v>345.43327508474715</v>
      </c>
      <c r="G303" s="14">
        <v>553.88004383895145</v>
      </c>
      <c r="H303" s="14">
        <v>1041.7332061344653</v>
      </c>
      <c r="I303" s="14">
        <v>1890.0204986819431</v>
      </c>
      <c r="J303" s="14">
        <v>2059.2137626150579</v>
      </c>
    </row>
    <row r="304" spans="1:10" ht="15.75" x14ac:dyDescent="0.5">
      <c r="A304" s="13" t="s">
        <v>265</v>
      </c>
      <c r="B304" s="13" t="s">
        <v>418</v>
      </c>
      <c r="C304" s="13" t="s">
        <v>400</v>
      </c>
      <c r="D304" s="14">
        <v>3.1841751731019539</v>
      </c>
      <c r="E304" s="14">
        <v>3.1841751731019534</v>
      </c>
      <c r="F304" s="14">
        <v>3.1841751731019539</v>
      </c>
      <c r="G304" s="14">
        <v>3.1841751731019534</v>
      </c>
      <c r="H304" s="14">
        <v>3.1841751731019534</v>
      </c>
      <c r="I304" s="14">
        <v>3.184175173101953</v>
      </c>
      <c r="J304" s="14">
        <v>3.1841751731019539</v>
      </c>
    </row>
    <row r="305" spans="1:10" ht="15.75" x14ac:dyDescent="0.5">
      <c r="A305" s="13" t="s">
        <v>265</v>
      </c>
      <c r="B305" s="13" t="s">
        <v>419</v>
      </c>
      <c r="C305" s="13" t="s">
        <v>400</v>
      </c>
      <c r="D305" s="14">
        <v>0.54465920264079504</v>
      </c>
      <c r="E305" s="14">
        <v>8.3930080763274084</v>
      </c>
      <c r="F305" s="14">
        <v>21.223703298066457</v>
      </c>
      <c r="G305" s="14">
        <v>48.811399301963363</v>
      </c>
      <c r="H305" s="14">
        <v>147.21576320472278</v>
      </c>
      <c r="I305" s="14">
        <v>596.32545247709311</v>
      </c>
      <c r="J305" s="14">
        <v>787.89240069846255</v>
      </c>
    </row>
    <row r="306" spans="1:10" ht="15.75" x14ac:dyDescent="0.5">
      <c r="A306" s="13" t="s">
        <v>265</v>
      </c>
      <c r="B306" s="13" t="s">
        <v>420</v>
      </c>
      <c r="C306" s="13" t="s">
        <v>400</v>
      </c>
      <c r="D306" s="14">
        <v>-13.987252957808391</v>
      </c>
      <c r="E306" s="14">
        <v>-13.761623171431001</v>
      </c>
      <c r="F306" s="14">
        <v>-13.906278250290729</v>
      </c>
      <c r="G306" s="14">
        <v>-12.597653200581565</v>
      </c>
      <c r="H306" s="14">
        <v>-14.118307437560318</v>
      </c>
      <c r="I306" s="14">
        <v>-16.825994077696517</v>
      </c>
      <c r="J306" s="14">
        <v>-17.470027386887114</v>
      </c>
    </row>
    <row r="307" spans="1:10" ht="15.75" x14ac:dyDescent="0.5">
      <c r="A307" s="13" t="s">
        <v>266</v>
      </c>
      <c r="B307" s="13" t="s">
        <v>399</v>
      </c>
      <c r="C307" s="13" t="s">
        <v>400</v>
      </c>
      <c r="D307" s="14">
        <v>7.2499064625597898</v>
      </c>
      <c r="E307" s="14">
        <v>4.2389343065693544E-2</v>
      </c>
      <c r="F307" s="14">
        <v>0.51246000000000103</v>
      </c>
      <c r="G307" s="14">
        <v>1.9022843120094426</v>
      </c>
      <c r="H307" s="14">
        <v>1.5508579981351405</v>
      </c>
      <c r="I307" s="14">
        <v>3.4920000000000062E-2</v>
      </c>
      <c r="J307" s="14">
        <v>0.70697335166828035</v>
      </c>
    </row>
    <row r="308" spans="1:10" ht="15.75" x14ac:dyDescent="0.5">
      <c r="A308" s="13" t="s">
        <v>266</v>
      </c>
      <c r="B308" s="13" t="s">
        <v>401</v>
      </c>
      <c r="C308" s="13" t="s">
        <v>400</v>
      </c>
      <c r="D308" s="14" t="s">
        <v>250</v>
      </c>
      <c r="E308" s="14" t="s">
        <v>250</v>
      </c>
      <c r="F308" s="14">
        <v>152.2163969820287</v>
      </c>
      <c r="G308" s="14">
        <v>152.2163969820287</v>
      </c>
      <c r="H308" s="14">
        <v>40.322048380219265</v>
      </c>
      <c r="I308" s="14">
        <v>28.434876346909718</v>
      </c>
      <c r="J308" s="14" t="s">
        <v>250</v>
      </c>
    </row>
    <row r="309" spans="1:10" ht="15.75" x14ac:dyDescent="0.5">
      <c r="A309" s="13" t="s">
        <v>266</v>
      </c>
      <c r="B309" s="13" t="s">
        <v>402</v>
      </c>
      <c r="C309" s="13" t="s">
        <v>400</v>
      </c>
      <c r="D309" s="14">
        <v>1072.9916742877463</v>
      </c>
      <c r="E309" s="14">
        <v>402.62093664938266</v>
      </c>
      <c r="F309" s="14">
        <v>151.07682879433008</v>
      </c>
      <c r="G309" s="14">
        <v>106.44906455776065</v>
      </c>
      <c r="H309" s="14">
        <v>89.437016394700365</v>
      </c>
      <c r="I309" s="14">
        <v>50.295912409076792</v>
      </c>
      <c r="J309" s="14" t="s">
        <v>250</v>
      </c>
    </row>
    <row r="310" spans="1:10" ht="15.75" x14ac:dyDescent="0.5">
      <c r="A310" s="13" t="s">
        <v>266</v>
      </c>
      <c r="B310" s="13" t="s">
        <v>403</v>
      </c>
      <c r="C310" s="13" t="s">
        <v>400</v>
      </c>
      <c r="D310" s="14" t="s">
        <v>250</v>
      </c>
      <c r="E310" s="14" t="s">
        <v>250</v>
      </c>
      <c r="F310" s="14">
        <v>97.546440487853445</v>
      </c>
      <c r="G310" s="14">
        <v>97.546440487853474</v>
      </c>
      <c r="H310" s="14">
        <v>19.682669999547603</v>
      </c>
      <c r="I310" s="14">
        <v>19.682669999547606</v>
      </c>
      <c r="J310" s="14" t="s">
        <v>250</v>
      </c>
    </row>
    <row r="311" spans="1:10" ht="15.75" x14ac:dyDescent="0.5">
      <c r="A311" s="13" t="s">
        <v>266</v>
      </c>
      <c r="B311" s="13" t="s">
        <v>404</v>
      </c>
      <c r="C311" s="13" t="s">
        <v>400</v>
      </c>
      <c r="D311" s="14" t="s">
        <v>250</v>
      </c>
      <c r="E311" s="14" t="s">
        <v>250</v>
      </c>
      <c r="F311" s="14" t="s">
        <v>250</v>
      </c>
      <c r="G311" s="14" t="s">
        <v>250</v>
      </c>
      <c r="H311" s="14" t="s">
        <v>250</v>
      </c>
      <c r="I311" s="14">
        <v>0.33069896914528524</v>
      </c>
      <c r="J311" s="14">
        <v>14.172408903939457</v>
      </c>
    </row>
    <row r="312" spans="1:10" ht="15.75" x14ac:dyDescent="0.5">
      <c r="A312" s="13" t="s">
        <v>266</v>
      </c>
      <c r="B312" s="13" t="s">
        <v>421</v>
      </c>
      <c r="C312" s="13" t="s">
        <v>400</v>
      </c>
      <c r="D312" s="14" t="s">
        <v>250</v>
      </c>
      <c r="E312" s="14" t="s">
        <v>250</v>
      </c>
      <c r="F312" s="14" t="s">
        <v>250</v>
      </c>
      <c r="G312" s="14">
        <v>334.31508781005988</v>
      </c>
      <c r="H312" s="14">
        <v>901.12975314399262</v>
      </c>
      <c r="I312" s="14">
        <v>836.94271266502255</v>
      </c>
      <c r="J312" s="14">
        <v>142.30356941277785</v>
      </c>
    </row>
    <row r="313" spans="1:10" ht="15.75" x14ac:dyDescent="0.5">
      <c r="A313" s="13" t="s">
        <v>266</v>
      </c>
      <c r="B313" s="13" t="s">
        <v>405</v>
      </c>
      <c r="C313" s="13" t="s">
        <v>400</v>
      </c>
      <c r="D313" s="14">
        <v>1259.3891290889937</v>
      </c>
      <c r="E313" s="14">
        <v>1337.2478246456712</v>
      </c>
      <c r="F313" s="14">
        <v>1360.5219131511128</v>
      </c>
      <c r="G313" s="14">
        <v>1275.3023934333125</v>
      </c>
      <c r="H313" s="14">
        <v>865.64221392195873</v>
      </c>
      <c r="I313" s="14">
        <v>468.81628318623808</v>
      </c>
      <c r="J313" s="14">
        <v>144.15214961852234</v>
      </c>
    </row>
    <row r="314" spans="1:10" ht="15.75" x14ac:dyDescent="0.5">
      <c r="A314" s="13" t="s">
        <v>266</v>
      </c>
      <c r="B314" s="13" t="s">
        <v>406</v>
      </c>
      <c r="C314" s="13" t="s">
        <v>400</v>
      </c>
      <c r="D314" s="14">
        <v>23.479196814299335</v>
      </c>
      <c r="E314" s="14">
        <v>21.538977831269346</v>
      </c>
      <c r="F314" s="14">
        <v>44.300101112104073</v>
      </c>
      <c r="G314" s="14">
        <v>51.671100460924691</v>
      </c>
      <c r="H314" s="14">
        <v>71.529200981127047</v>
      </c>
      <c r="I314" s="14">
        <v>82.067279342062278</v>
      </c>
      <c r="J314" s="14">
        <v>129.24158303760461</v>
      </c>
    </row>
    <row r="315" spans="1:10" ht="15.75" x14ac:dyDescent="0.5">
      <c r="A315" s="13" t="s">
        <v>266</v>
      </c>
      <c r="B315" s="13" t="s">
        <v>407</v>
      </c>
      <c r="C315" s="13" t="s">
        <v>400</v>
      </c>
      <c r="D315" s="14" t="s">
        <v>250</v>
      </c>
      <c r="E315" s="14">
        <v>111.62779950683533</v>
      </c>
      <c r="F315" s="14">
        <v>97.557280719334017</v>
      </c>
      <c r="G315" s="14">
        <v>305.883682094047</v>
      </c>
      <c r="H315" s="14">
        <v>219.06279815306695</v>
      </c>
      <c r="I315" s="14">
        <v>29.152999540467206</v>
      </c>
      <c r="J315" s="14">
        <v>59.473969469391854</v>
      </c>
    </row>
    <row r="316" spans="1:10" ht="15.75" x14ac:dyDescent="0.5">
      <c r="A316" s="13" t="s">
        <v>266</v>
      </c>
      <c r="B316" s="13" t="s">
        <v>408</v>
      </c>
      <c r="C316" s="13" t="s">
        <v>400</v>
      </c>
      <c r="D316" s="14">
        <v>46.892290321001212</v>
      </c>
      <c r="E316" s="14">
        <v>35.131177176704298</v>
      </c>
      <c r="F316" s="14">
        <v>31.81094491118899</v>
      </c>
      <c r="G316" s="14">
        <v>46.92420964740262</v>
      </c>
      <c r="H316" s="14">
        <v>44.275004162593213</v>
      </c>
      <c r="I316" s="14">
        <v>31.176329591789198</v>
      </c>
      <c r="J316" s="14">
        <v>34.142676990139051</v>
      </c>
    </row>
    <row r="317" spans="1:10" ht="15.75" x14ac:dyDescent="0.5">
      <c r="A317" s="13" t="s">
        <v>266</v>
      </c>
      <c r="B317" s="13" t="s">
        <v>409</v>
      </c>
      <c r="C317" s="13" t="s">
        <v>400</v>
      </c>
      <c r="D317" s="14">
        <v>18.365704270000037</v>
      </c>
      <c r="E317" s="14">
        <v>18.365704270000037</v>
      </c>
      <c r="F317" s="14">
        <v>18.365704270000034</v>
      </c>
      <c r="G317" s="14">
        <v>18.365704270000034</v>
      </c>
      <c r="H317" s="14">
        <v>18.36570427000003</v>
      </c>
      <c r="I317" s="14">
        <v>18.151385134000037</v>
      </c>
      <c r="J317" s="14">
        <v>18.365704270000037</v>
      </c>
    </row>
    <row r="318" spans="1:10" ht="15.75" x14ac:dyDescent="0.5">
      <c r="A318" s="13" t="s">
        <v>266</v>
      </c>
      <c r="B318" s="13" t="s">
        <v>410</v>
      </c>
      <c r="C318" s="13" t="s">
        <v>400</v>
      </c>
      <c r="D318" s="14">
        <v>245.79356253202221</v>
      </c>
      <c r="E318" s="14">
        <v>245.09537147833012</v>
      </c>
      <c r="F318" s="14">
        <v>246.12445039394592</v>
      </c>
      <c r="G318" s="14">
        <v>246.10465039394558</v>
      </c>
      <c r="H318" s="14">
        <v>246.07938798690984</v>
      </c>
      <c r="I318" s="14">
        <v>245.86548436329258</v>
      </c>
      <c r="J318" s="14">
        <v>246.0936037553881</v>
      </c>
    </row>
    <row r="319" spans="1:10" ht="15.75" x14ac:dyDescent="0.5">
      <c r="A319" s="13" t="s">
        <v>266</v>
      </c>
      <c r="B319" s="13" t="s">
        <v>411</v>
      </c>
      <c r="C319" s="13" t="s">
        <v>400</v>
      </c>
      <c r="D319" s="14">
        <v>7.1394000000000171</v>
      </c>
      <c r="E319" s="14">
        <v>5.8260569343065827</v>
      </c>
      <c r="F319" s="14" t="s">
        <v>250</v>
      </c>
      <c r="G319" s="14" t="s">
        <v>250</v>
      </c>
      <c r="H319" s="14" t="s">
        <v>250</v>
      </c>
      <c r="I319" s="14" t="s">
        <v>250</v>
      </c>
      <c r="J319" s="14" t="s">
        <v>250</v>
      </c>
    </row>
    <row r="320" spans="1:10" ht="15.75" x14ac:dyDescent="0.5">
      <c r="A320" s="13" t="s">
        <v>266</v>
      </c>
      <c r="B320" s="13" t="s">
        <v>412</v>
      </c>
      <c r="C320" s="13" t="s">
        <v>400</v>
      </c>
      <c r="D320" s="14">
        <v>760.72545968400198</v>
      </c>
      <c r="E320" s="14">
        <v>750.08311757122704</v>
      </c>
      <c r="F320" s="14">
        <v>652.82214552469247</v>
      </c>
      <c r="G320" s="14">
        <v>780.28897969069294</v>
      </c>
      <c r="H320" s="14">
        <v>999.06945877440432</v>
      </c>
      <c r="I320" s="14">
        <v>1668.5825475381655</v>
      </c>
      <c r="J320" s="14">
        <v>3087.0004231327184</v>
      </c>
    </row>
    <row r="321" spans="1:10" ht="15.75" x14ac:dyDescent="0.5">
      <c r="A321" s="13" t="s">
        <v>266</v>
      </c>
      <c r="B321" s="13" t="s">
        <v>413</v>
      </c>
      <c r="C321" s="13" t="s">
        <v>400</v>
      </c>
      <c r="D321" s="14">
        <v>23.70292761988614</v>
      </c>
      <c r="E321" s="14">
        <v>20.903758764826826</v>
      </c>
      <c r="F321" s="14">
        <v>6.1632353932805879</v>
      </c>
      <c r="G321" s="14">
        <v>2.5156084145265343</v>
      </c>
      <c r="H321" s="14">
        <v>1.4470564960737837</v>
      </c>
      <c r="I321" s="14">
        <v>4.8898686148569667E-2</v>
      </c>
      <c r="J321" s="14" t="s">
        <v>250</v>
      </c>
    </row>
    <row r="322" spans="1:10" ht="15.75" x14ac:dyDescent="0.5">
      <c r="A322" s="13" t="s">
        <v>266</v>
      </c>
      <c r="B322" s="13" t="s">
        <v>414</v>
      </c>
      <c r="C322" s="13" t="s">
        <v>400</v>
      </c>
      <c r="D322" s="14">
        <v>0.6803907705109502</v>
      </c>
      <c r="E322" s="14">
        <v>24.079526983599649</v>
      </c>
      <c r="F322" s="14">
        <v>94.628281622538296</v>
      </c>
      <c r="G322" s="14">
        <v>188.66613156429236</v>
      </c>
      <c r="H322" s="14">
        <v>228.22128584221113</v>
      </c>
      <c r="I322" s="14">
        <v>228.79862770443978</v>
      </c>
      <c r="J322" s="14">
        <v>229.2110147488894</v>
      </c>
    </row>
    <row r="323" spans="1:10" ht="15.75" x14ac:dyDescent="0.5">
      <c r="A323" s="13" t="s">
        <v>266</v>
      </c>
      <c r="B323" s="13" t="s">
        <v>415</v>
      </c>
      <c r="C323" s="13" t="s">
        <v>400</v>
      </c>
      <c r="D323" s="14">
        <v>440.53124483255561</v>
      </c>
      <c r="E323" s="14">
        <v>870.85529858132338</v>
      </c>
      <c r="F323" s="14">
        <v>1351.6197822371701</v>
      </c>
      <c r="G323" s="14">
        <v>1505.2697285231909</v>
      </c>
      <c r="H323" s="14">
        <v>2096.6973280351604</v>
      </c>
      <c r="I323" s="14">
        <v>2761.3633420672113</v>
      </c>
      <c r="J323" s="14">
        <v>2782.4472729891991</v>
      </c>
    </row>
    <row r="324" spans="1:10" ht="15.75" x14ac:dyDescent="0.5">
      <c r="A324" s="13" t="s">
        <v>266</v>
      </c>
      <c r="B324" s="13" t="s">
        <v>416</v>
      </c>
      <c r="C324" s="13" t="s">
        <v>400</v>
      </c>
      <c r="D324" s="14" t="s">
        <v>250</v>
      </c>
      <c r="E324" s="14">
        <v>54.174742594980977</v>
      </c>
      <c r="F324" s="14">
        <v>66.675949052097494</v>
      </c>
      <c r="G324" s="14">
        <v>76.801435170202097</v>
      </c>
      <c r="H324" s="14">
        <v>77.990654991853745</v>
      </c>
      <c r="I324" s="14">
        <v>82.683057309487651</v>
      </c>
      <c r="J324" s="14">
        <v>94.727837483420984</v>
      </c>
    </row>
    <row r="325" spans="1:10" ht="15.75" x14ac:dyDescent="0.5">
      <c r="A325" s="13" t="s">
        <v>266</v>
      </c>
      <c r="B325" s="13" t="s">
        <v>417</v>
      </c>
      <c r="C325" s="13" t="s">
        <v>400</v>
      </c>
      <c r="D325" s="14">
        <v>187.48709633408697</v>
      </c>
      <c r="E325" s="14">
        <v>302.81772747871355</v>
      </c>
      <c r="F325" s="14">
        <v>345.51598292113334</v>
      </c>
      <c r="G325" s="14">
        <v>566.47887898034094</v>
      </c>
      <c r="H325" s="14">
        <v>1033.6025878513353</v>
      </c>
      <c r="I325" s="14">
        <v>1463.2306288854593</v>
      </c>
      <c r="J325" s="14">
        <v>1526.8699923173792</v>
      </c>
    </row>
    <row r="326" spans="1:10" ht="15.75" x14ac:dyDescent="0.5">
      <c r="A326" s="13" t="s">
        <v>266</v>
      </c>
      <c r="B326" s="13" t="s">
        <v>418</v>
      </c>
      <c r="C326" s="13" t="s">
        <v>400</v>
      </c>
      <c r="D326" s="14">
        <v>3.1841751731019534</v>
      </c>
      <c r="E326" s="14">
        <v>3.1841751731019534</v>
      </c>
      <c r="F326" s="14">
        <v>3.184175173101953</v>
      </c>
      <c r="G326" s="14">
        <v>3.184175173101953</v>
      </c>
      <c r="H326" s="14">
        <v>3.184175173101953</v>
      </c>
      <c r="I326" s="14">
        <v>3.1841751731019534</v>
      </c>
      <c r="J326" s="14">
        <v>3.1841751731019534</v>
      </c>
    </row>
    <row r="327" spans="1:10" ht="15.75" x14ac:dyDescent="0.5">
      <c r="A327" s="13" t="s">
        <v>266</v>
      </c>
      <c r="B327" s="13" t="s">
        <v>419</v>
      </c>
      <c r="C327" s="13" t="s">
        <v>400</v>
      </c>
      <c r="D327" s="14">
        <v>0.54465920264079504</v>
      </c>
      <c r="E327" s="14">
        <v>8.4046314016665065</v>
      </c>
      <c r="F327" s="14">
        <v>20.657614539307215</v>
      </c>
      <c r="G327" s="14">
        <v>47.350042258781038</v>
      </c>
      <c r="H327" s="14">
        <v>96.127516129006537</v>
      </c>
      <c r="I327" s="14">
        <v>240.33714113457211</v>
      </c>
      <c r="J327" s="14">
        <v>255.24670697215666</v>
      </c>
    </row>
    <row r="328" spans="1:10" ht="15.75" x14ac:dyDescent="0.5">
      <c r="A328" s="13" t="s">
        <v>266</v>
      </c>
      <c r="B328" s="13" t="s">
        <v>420</v>
      </c>
      <c r="C328" s="13" t="s">
        <v>400</v>
      </c>
      <c r="D328" s="14">
        <v>-13.987252957808412</v>
      </c>
      <c r="E328" s="14">
        <v>-13.749577458641093</v>
      </c>
      <c r="F328" s="14">
        <v>-13.811690825914479</v>
      </c>
      <c r="G328" s="14">
        <v>-12.813210479035414</v>
      </c>
      <c r="H328" s="14">
        <v>-14.736340028276938</v>
      </c>
      <c r="I328" s="14">
        <v>-16.94338339440419</v>
      </c>
      <c r="J328" s="14">
        <v>-19.325546662067559</v>
      </c>
    </row>
    <row r="329" spans="1:10" ht="15.75" x14ac:dyDescent="0.5">
      <c r="A329" s="13" t="s">
        <v>267</v>
      </c>
      <c r="B329" s="13" t="s">
        <v>399</v>
      </c>
      <c r="C329" s="13" t="s">
        <v>400</v>
      </c>
      <c r="D329" s="14">
        <v>7.249906462559788</v>
      </c>
      <c r="E329" s="14">
        <v>4.2389343065693544E-2</v>
      </c>
      <c r="F329" s="14">
        <v>0.51246000000000114</v>
      </c>
      <c r="G329" s="14">
        <v>1.8795834744525588</v>
      </c>
      <c r="H329" s="14">
        <v>0.98008659854014801</v>
      </c>
      <c r="I329" s="14">
        <v>1.3680000000000036E-2</v>
      </c>
      <c r="J329" s="14">
        <v>3.986395747768114</v>
      </c>
    </row>
    <row r="330" spans="1:10" ht="15.75" x14ac:dyDescent="0.5">
      <c r="A330" s="13" t="s">
        <v>267</v>
      </c>
      <c r="B330" s="13" t="s">
        <v>401</v>
      </c>
      <c r="C330" s="13" t="s">
        <v>400</v>
      </c>
      <c r="D330" s="14" t="s">
        <v>250</v>
      </c>
      <c r="E330" s="14" t="s">
        <v>250</v>
      </c>
      <c r="F330" s="14">
        <v>127.40978375665762</v>
      </c>
      <c r="G330" s="14">
        <v>127.40978375665755</v>
      </c>
      <c r="H330" s="14">
        <v>26.934237924786931</v>
      </c>
      <c r="I330" s="14">
        <v>16.946783410072182</v>
      </c>
      <c r="J330" s="14" t="s">
        <v>250</v>
      </c>
    </row>
    <row r="331" spans="1:10" ht="15.75" x14ac:dyDescent="0.5">
      <c r="A331" s="13" t="s">
        <v>267</v>
      </c>
      <c r="B331" s="13" t="s">
        <v>402</v>
      </c>
      <c r="C331" s="13" t="s">
        <v>400</v>
      </c>
      <c r="D331" s="14">
        <v>1072.9916742877463</v>
      </c>
      <c r="E331" s="14">
        <v>403.4200456503944</v>
      </c>
      <c r="F331" s="14">
        <v>171.52600438576746</v>
      </c>
      <c r="G331" s="14">
        <v>136.31809458793504</v>
      </c>
      <c r="H331" s="14">
        <v>194.42738987594183</v>
      </c>
      <c r="I331" s="14">
        <v>55.512930669137894</v>
      </c>
      <c r="J331" s="14" t="s">
        <v>250</v>
      </c>
    </row>
    <row r="332" spans="1:10" ht="15.75" x14ac:dyDescent="0.5">
      <c r="A332" s="13" t="s">
        <v>267</v>
      </c>
      <c r="B332" s="13" t="s">
        <v>403</v>
      </c>
      <c r="C332" s="13" t="s">
        <v>400</v>
      </c>
      <c r="D332" s="14" t="s">
        <v>250</v>
      </c>
      <c r="E332" s="14" t="s">
        <v>250</v>
      </c>
      <c r="F332" s="14">
        <v>45.828228403872544</v>
      </c>
      <c r="G332" s="14">
        <v>45.828228403872558</v>
      </c>
      <c r="H332" s="14">
        <v>9.2335118867505539</v>
      </c>
      <c r="I332" s="14">
        <v>9.2335118867505237</v>
      </c>
      <c r="J332" s="14" t="s">
        <v>250</v>
      </c>
    </row>
    <row r="333" spans="1:10" ht="15.75" x14ac:dyDescent="0.5">
      <c r="A333" s="13" t="s">
        <v>267</v>
      </c>
      <c r="B333" s="13" t="s">
        <v>404</v>
      </c>
      <c r="C333" s="13" t="s">
        <v>400</v>
      </c>
      <c r="D333" s="14" t="s">
        <v>250</v>
      </c>
      <c r="E333" s="14" t="s">
        <v>250</v>
      </c>
      <c r="F333" s="14" t="s">
        <v>250</v>
      </c>
      <c r="G333" s="14" t="s">
        <v>250</v>
      </c>
      <c r="H333" s="14" t="s">
        <v>250</v>
      </c>
      <c r="I333" s="14">
        <v>0.33069896914528535</v>
      </c>
      <c r="J333" s="14">
        <v>45.719724212910236</v>
      </c>
    </row>
    <row r="334" spans="1:10" ht="15.75" x14ac:dyDescent="0.5">
      <c r="A334" s="13" t="s">
        <v>267</v>
      </c>
      <c r="B334" s="13" t="s">
        <v>421</v>
      </c>
      <c r="C334" s="13" t="s">
        <v>400</v>
      </c>
      <c r="D334" s="14" t="s">
        <v>250</v>
      </c>
      <c r="E334" s="14" t="s">
        <v>250</v>
      </c>
      <c r="F334" s="14" t="s">
        <v>250</v>
      </c>
      <c r="G334" s="14">
        <v>686.36312006877495</v>
      </c>
      <c r="H334" s="14">
        <v>1824.6486487637897</v>
      </c>
      <c r="I334" s="14">
        <v>1612.4767635479336</v>
      </c>
      <c r="J334" s="14">
        <v>1176.4802095902417</v>
      </c>
    </row>
    <row r="335" spans="1:10" ht="15.75" x14ac:dyDescent="0.5">
      <c r="A335" s="13" t="s">
        <v>267</v>
      </c>
      <c r="B335" s="13" t="s">
        <v>405</v>
      </c>
      <c r="C335" s="13" t="s">
        <v>400</v>
      </c>
      <c r="D335" s="14">
        <v>1259.3891290889937</v>
      </c>
      <c r="E335" s="14">
        <v>1336.5198557054157</v>
      </c>
      <c r="F335" s="14">
        <v>1396.3852908787471</v>
      </c>
      <c r="G335" s="14">
        <v>1196.0841118303481</v>
      </c>
      <c r="H335" s="14">
        <v>535.3381739192979</v>
      </c>
      <c r="I335" s="14">
        <v>463.12948280072396</v>
      </c>
      <c r="J335" s="14">
        <v>173.36201747929181</v>
      </c>
    </row>
    <row r="336" spans="1:10" ht="15.75" x14ac:dyDescent="0.5">
      <c r="A336" s="13" t="s">
        <v>267</v>
      </c>
      <c r="B336" s="13" t="s">
        <v>406</v>
      </c>
      <c r="C336" s="13" t="s">
        <v>400</v>
      </c>
      <c r="D336" s="14">
        <v>23.479196814299328</v>
      </c>
      <c r="E336" s="14">
        <v>22.098792428451389</v>
      </c>
      <c r="F336" s="14">
        <v>44.845324530005065</v>
      </c>
      <c r="G336" s="14">
        <v>49.548835148052504</v>
      </c>
      <c r="H336" s="14">
        <v>62.456907518671741</v>
      </c>
      <c r="I336" s="14">
        <v>66.293271328169212</v>
      </c>
      <c r="J336" s="14">
        <v>79.95742147999043</v>
      </c>
    </row>
    <row r="337" spans="1:10" ht="15.75" x14ac:dyDescent="0.5">
      <c r="A337" s="13" t="s">
        <v>267</v>
      </c>
      <c r="B337" s="13" t="s">
        <v>407</v>
      </c>
      <c r="C337" s="13" t="s">
        <v>400</v>
      </c>
      <c r="D337" s="14" t="s">
        <v>250</v>
      </c>
      <c r="E337" s="14">
        <v>112.81230465916893</v>
      </c>
      <c r="F337" s="14">
        <v>118.31286678433041</v>
      </c>
      <c r="G337" s="14">
        <v>281.01293389856153</v>
      </c>
      <c r="H337" s="14">
        <v>141.92991087991618</v>
      </c>
      <c r="I337" s="14">
        <v>49.230158870801475</v>
      </c>
      <c r="J337" s="14">
        <v>218.77806677553539</v>
      </c>
    </row>
    <row r="338" spans="1:10" ht="15.75" x14ac:dyDescent="0.5">
      <c r="A338" s="13" t="s">
        <v>267</v>
      </c>
      <c r="B338" s="13" t="s">
        <v>408</v>
      </c>
      <c r="C338" s="13" t="s">
        <v>400</v>
      </c>
      <c r="D338" s="14">
        <v>46.892290321001227</v>
      </c>
      <c r="E338" s="14">
        <v>35.272850754677485</v>
      </c>
      <c r="F338" s="14">
        <v>32.031026642167717</v>
      </c>
      <c r="G338" s="14">
        <v>46.766267044831288</v>
      </c>
      <c r="H338" s="14">
        <v>43.315098627910849</v>
      </c>
      <c r="I338" s="14">
        <v>32.342966740338589</v>
      </c>
      <c r="J338" s="14">
        <v>45.007920868307949</v>
      </c>
    </row>
    <row r="339" spans="1:10" ht="15.75" x14ac:dyDescent="0.5">
      <c r="A339" s="13" t="s">
        <v>267</v>
      </c>
      <c r="B339" s="13" t="s">
        <v>409</v>
      </c>
      <c r="C339" s="13" t="s">
        <v>400</v>
      </c>
      <c r="D339" s="14">
        <v>18.365704270000034</v>
      </c>
      <c r="E339" s="14">
        <v>18.365704270000037</v>
      </c>
      <c r="F339" s="14">
        <v>18.365704270000034</v>
      </c>
      <c r="G339" s="14">
        <v>18.36570427000003</v>
      </c>
      <c r="H339" s="14">
        <v>18.365704270000037</v>
      </c>
      <c r="I339" s="14">
        <v>18.365704270000041</v>
      </c>
      <c r="J339" s="14">
        <v>18.365704270000037</v>
      </c>
    </row>
    <row r="340" spans="1:10" ht="15.75" x14ac:dyDescent="0.5">
      <c r="A340" s="13" t="s">
        <v>267</v>
      </c>
      <c r="B340" s="13" t="s">
        <v>410</v>
      </c>
      <c r="C340" s="13" t="s">
        <v>400</v>
      </c>
      <c r="D340" s="14">
        <v>245.79356253202224</v>
      </c>
      <c r="E340" s="14">
        <v>245.09089367502582</v>
      </c>
      <c r="F340" s="14">
        <v>246.12445039394572</v>
      </c>
      <c r="G340" s="14">
        <v>246.1652695862613</v>
      </c>
      <c r="H340" s="14">
        <v>246.02182315117165</v>
      </c>
      <c r="I340" s="14">
        <v>245.84347882897825</v>
      </c>
      <c r="J340" s="14">
        <v>246.16997594140952</v>
      </c>
    </row>
    <row r="341" spans="1:10" ht="15.75" x14ac:dyDescent="0.5">
      <c r="A341" s="13" t="s">
        <v>267</v>
      </c>
      <c r="B341" s="13" t="s">
        <v>411</v>
      </c>
      <c r="C341" s="13" t="s">
        <v>400</v>
      </c>
      <c r="D341" s="14">
        <v>7.1394000000000188</v>
      </c>
      <c r="E341" s="14">
        <v>5.8260569343065818</v>
      </c>
      <c r="F341" s="14" t="s">
        <v>250</v>
      </c>
      <c r="G341" s="14" t="s">
        <v>250</v>
      </c>
      <c r="H341" s="14" t="s">
        <v>250</v>
      </c>
      <c r="I341" s="14" t="s">
        <v>250</v>
      </c>
      <c r="J341" s="14" t="s">
        <v>250</v>
      </c>
    </row>
    <row r="342" spans="1:10" ht="15.75" x14ac:dyDescent="0.5">
      <c r="A342" s="13" t="s">
        <v>267</v>
      </c>
      <c r="B342" s="13" t="s">
        <v>412</v>
      </c>
      <c r="C342" s="13" t="s">
        <v>400</v>
      </c>
      <c r="D342" s="14">
        <v>760.72545968400163</v>
      </c>
      <c r="E342" s="14">
        <v>747.79364147781325</v>
      </c>
      <c r="F342" s="14">
        <v>644.15864246981039</v>
      </c>
      <c r="G342" s="14">
        <v>711.4946741506335</v>
      </c>
      <c r="H342" s="14">
        <v>713.72755286330914</v>
      </c>
      <c r="I342" s="14">
        <v>540.94979965229948</v>
      </c>
      <c r="J342" s="14">
        <v>680.67082003530686</v>
      </c>
    </row>
    <row r="343" spans="1:10" ht="15.75" x14ac:dyDescent="0.5">
      <c r="A343" s="13" t="s">
        <v>267</v>
      </c>
      <c r="B343" s="13" t="s">
        <v>413</v>
      </c>
      <c r="C343" s="13" t="s">
        <v>400</v>
      </c>
      <c r="D343" s="14">
        <v>23.70292761988614</v>
      </c>
      <c r="E343" s="14">
        <v>21.032333873678603</v>
      </c>
      <c r="F343" s="14">
        <v>7.2983307566166218</v>
      </c>
      <c r="G343" s="14">
        <v>2.2065489947212908</v>
      </c>
      <c r="H343" s="14">
        <v>1.1764113733288928</v>
      </c>
      <c r="I343" s="14">
        <v>7.4994012774209681E-2</v>
      </c>
      <c r="J343" s="14" t="s">
        <v>250</v>
      </c>
    </row>
    <row r="344" spans="1:10" ht="15.75" x14ac:dyDescent="0.5">
      <c r="A344" s="13" t="s">
        <v>267</v>
      </c>
      <c r="B344" s="13" t="s">
        <v>414</v>
      </c>
      <c r="C344" s="13" t="s">
        <v>400</v>
      </c>
      <c r="D344" s="14">
        <v>0.6803907705109502</v>
      </c>
      <c r="E344" s="14">
        <v>24.062027500498463</v>
      </c>
      <c r="F344" s="14">
        <v>94.569213346345364</v>
      </c>
      <c r="G344" s="14">
        <v>188.63629267508151</v>
      </c>
      <c r="H344" s="14">
        <v>228.19339333143972</v>
      </c>
      <c r="I344" s="14">
        <v>228.77065389132594</v>
      </c>
      <c r="J344" s="14">
        <v>229.18298286267378</v>
      </c>
    </row>
    <row r="345" spans="1:10" ht="15.75" x14ac:dyDescent="0.5">
      <c r="A345" s="13" t="s">
        <v>267</v>
      </c>
      <c r="B345" s="13" t="s">
        <v>415</v>
      </c>
      <c r="C345" s="13" t="s">
        <v>400</v>
      </c>
      <c r="D345" s="14">
        <v>440.53124483255567</v>
      </c>
      <c r="E345" s="14">
        <v>870.8115076227657</v>
      </c>
      <c r="F345" s="14">
        <v>1358.1899513097683</v>
      </c>
      <c r="G345" s="14">
        <v>1452.9124200577392</v>
      </c>
      <c r="H345" s="14">
        <v>1883.4330049859059</v>
      </c>
      <c r="I345" s="14">
        <v>2785.9472098883807</v>
      </c>
      <c r="J345" s="14">
        <v>3329.7818402485227</v>
      </c>
    </row>
    <row r="346" spans="1:10" ht="15.75" x14ac:dyDescent="0.5">
      <c r="A346" s="13" t="s">
        <v>267</v>
      </c>
      <c r="B346" s="13" t="s">
        <v>416</v>
      </c>
      <c r="C346" s="13" t="s">
        <v>400</v>
      </c>
      <c r="D346" s="14" t="s">
        <v>250</v>
      </c>
      <c r="E346" s="14">
        <v>54.174742594981012</v>
      </c>
      <c r="F346" s="14">
        <v>66.675949052097494</v>
      </c>
      <c r="G346" s="14">
        <v>76.801435170202154</v>
      </c>
      <c r="H346" s="14">
        <v>77.990654991853688</v>
      </c>
      <c r="I346" s="14">
        <v>82.683057309487637</v>
      </c>
      <c r="J346" s="14">
        <v>94.727837483420942</v>
      </c>
    </row>
    <row r="347" spans="1:10" ht="15.75" x14ac:dyDescent="0.5">
      <c r="A347" s="13" t="s">
        <v>267</v>
      </c>
      <c r="B347" s="13" t="s">
        <v>417</v>
      </c>
      <c r="C347" s="13" t="s">
        <v>400</v>
      </c>
      <c r="D347" s="14">
        <v>187.48709633408691</v>
      </c>
      <c r="E347" s="14">
        <v>302.83895640681419</v>
      </c>
      <c r="F347" s="14">
        <v>345.28018467193516</v>
      </c>
      <c r="G347" s="14">
        <v>494.64061040775493</v>
      </c>
      <c r="H347" s="14">
        <v>938.50458375088351</v>
      </c>
      <c r="I347" s="14">
        <v>2024.0939439202914</v>
      </c>
      <c r="J347" s="14">
        <v>2283.4158848959746</v>
      </c>
    </row>
    <row r="348" spans="1:10" ht="15.75" x14ac:dyDescent="0.5">
      <c r="A348" s="13" t="s">
        <v>267</v>
      </c>
      <c r="B348" s="13" t="s">
        <v>418</v>
      </c>
      <c r="C348" s="13" t="s">
        <v>400</v>
      </c>
      <c r="D348" s="14">
        <v>3.1841751731019534</v>
      </c>
      <c r="E348" s="14">
        <v>3.1841751731019534</v>
      </c>
      <c r="F348" s="14">
        <v>3.1841751731019539</v>
      </c>
      <c r="G348" s="14">
        <v>3.1841751731019534</v>
      </c>
      <c r="H348" s="14">
        <v>3.1841751731019534</v>
      </c>
      <c r="I348" s="14">
        <v>3.1841751731019525</v>
      </c>
      <c r="J348" s="14">
        <v>3.1841751731019539</v>
      </c>
    </row>
    <row r="349" spans="1:10" ht="15.75" x14ac:dyDescent="0.5">
      <c r="A349" s="13" t="s">
        <v>267</v>
      </c>
      <c r="B349" s="13" t="s">
        <v>419</v>
      </c>
      <c r="C349" s="13" t="s">
        <v>400</v>
      </c>
      <c r="D349" s="14">
        <v>0.54465920264079493</v>
      </c>
      <c r="E349" s="14">
        <v>8.5966100536197274</v>
      </c>
      <c r="F349" s="14">
        <v>21.524579751326925</v>
      </c>
      <c r="G349" s="14">
        <v>42.825105126258748</v>
      </c>
      <c r="H349" s="14">
        <v>105.38047214234416</v>
      </c>
      <c r="I349" s="14">
        <v>466.08897320674981</v>
      </c>
      <c r="J349" s="14">
        <v>1056.7268777022605</v>
      </c>
    </row>
    <row r="350" spans="1:10" ht="15.75" x14ac:dyDescent="0.5">
      <c r="A350" s="13" t="s">
        <v>267</v>
      </c>
      <c r="B350" s="13" t="s">
        <v>420</v>
      </c>
      <c r="C350" s="13" t="s">
        <v>400</v>
      </c>
      <c r="D350" s="14">
        <v>-13.987252957808412</v>
      </c>
      <c r="E350" s="14">
        <v>-13.85656240922482</v>
      </c>
      <c r="F350" s="14">
        <v>-13.817009274965256</v>
      </c>
      <c r="G350" s="14">
        <v>-11.590803006635598</v>
      </c>
      <c r="H350" s="14">
        <v>-14.751605867771644</v>
      </c>
      <c r="I350" s="14">
        <v>-15.153349308405677</v>
      </c>
      <c r="J350" s="14">
        <v>-15.275378506156809</v>
      </c>
    </row>
    <row r="351" spans="1:10" ht="15.75" x14ac:dyDescent="0.5">
      <c r="A351" s="13" t="s">
        <v>268</v>
      </c>
      <c r="B351" s="13" t="s">
        <v>399</v>
      </c>
      <c r="C351" s="13" t="s">
        <v>400</v>
      </c>
      <c r="D351" s="14">
        <v>7.2499064625597898</v>
      </c>
      <c r="E351" s="14">
        <v>4.2389343065693544E-2</v>
      </c>
      <c r="F351" s="14">
        <v>0.51246000000000114</v>
      </c>
      <c r="G351" s="14">
        <v>1.887391795620442</v>
      </c>
      <c r="H351" s="14">
        <v>0.99786677814662728</v>
      </c>
      <c r="I351" s="14">
        <v>0.22781772262773767</v>
      </c>
      <c r="J351" s="14">
        <v>3.5001267732268477</v>
      </c>
    </row>
    <row r="352" spans="1:10" ht="15.75" x14ac:dyDescent="0.5">
      <c r="A352" s="13" t="s">
        <v>268</v>
      </c>
      <c r="B352" s="13" t="s">
        <v>401</v>
      </c>
      <c r="C352" s="13" t="s">
        <v>400</v>
      </c>
      <c r="D352" s="14" t="s">
        <v>250</v>
      </c>
      <c r="E352" s="14" t="s">
        <v>250</v>
      </c>
      <c r="F352" s="14">
        <v>129.11843050616818</v>
      </c>
      <c r="G352" s="14">
        <v>129.11843050616818</v>
      </c>
      <c r="H352" s="14">
        <v>27.539243545868185</v>
      </c>
      <c r="I352" s="14">
        <v>18.01893561831346</v>
      </c>
      <c r="J352" s="14" t="s">
        <v>250</v>
      </c>
    </row>
    <row r="353" spans="1:10" ht="15.75" x14ac:dyDescent="0.5">
      <c r="A353" s="13" t="s">
        <v>268</v>
      </c>
      <c r="B353" s="13" t="s">
        <v>402</v>
      </c>
      <c r="C353" s="13" t="s">
        <v>400</v>
      </c>
      <c r="D353" s="14">
        <v>1072.9916742877465</v>
      </c>
      <c r="E353" s="14">
        <v>403.38789083348655</v>
      </c>
      <c r="F353" s="14">
        <v>170.66076430984234</v>
      </c>
      <c r="G353" s="14">
        <v>134.53907440378839</v>
      </c>
      <c r="H353" s="14">
        <v>189.20953638244563</v>
      </c>
      <c r="I353" s="14">
        <v>53.92445278743844</v>
      </c>
      <c r="J353" s="14" t="s">
        <v>250</v>
      </c>
    </row>
    <row r="354" spans="1:10" ht="15.75" x14ac:dyDescent="0.5">
      <c r="A354" s="13" t="s">
        <v>268</v>
      </c>
      <c r="B354" s="13" t="s">
        <v>403</v>
      </c>
      <c r="C354" s="13" t="s">
        <v>400</v>
      </c>
      <c r="D354" s="14" t="s">
        <v>250</v>
      </c>
      <c r="E354" s="14" t="s">
        <v>250</v>
      </c>
      <c r="F354" s="14">
        <v>56.165421414742596</v>
      </c>
      <c r="G354" s="14">
        <v>56.165421414742596</v>
      </c>
      <c r="H354" s="14">
        <v>11.308525962661122</v>
      </c>
      <c r="I354" s="14">
        <v>11.308525962661125</v>
      </c>
      <c r="J354" s="14" t="s">
        <v>250</v>
      </c>
    </row>
    <row r="355" spans="1:10" ht="15.75" x14ac:dyDescent="0.5">
      <c r="A355" s="13" t="s">
        <v>268</v>
      </c>
      <c r="B355" s="13" t="s">
        <v>404</v>
      </c>
      <c r="C355" s="13" t="s">
        <v>400</v>
      </c>
      <c r="D355" s="14" t="s">
        <v>250</v>
      </c>
      <c r="E355" s="14" t="s">
        <v>250</v>
      </c>
      <c r="F355" s="14" t="s">
        <v>250</v>
      </c>
      <c r="G355" s="14" t="s">
        <v>250</v>
      </c>
      <c r="H355" s="14" t="s">
        <v>250</v>
      </c>
      <c r="I355" s="14">
        <v>0.33069896914528535</v>
      </c>
      <c r="J355" s="14">
        <v>25.703063141692372</v>
      </c>
    </row>
    <row r="356" spans="1:10" ht="15.75" x14ac:dyDescent="0.5">
      <c r="A356" s="13" t="s">
        <v>268</v>
      </c>
      <c r="B356" s="13" t="s">
        <v>421</v>
      </c>
      <c r="C356" s="13" t="s">
        <v>400</v>
      </c>
      <c r="D356" s="14" t="s">
        <v>250</v>
      </c>
      <c r="E356" s="14" t="s">
        <v>250</v>
      </c>
      <c r="F356" s="14" t="s">
        <v>250</v>
      </c>
      <c r="G356" s="14">
        <v>671.2357730713934</v>
      </c>
      <c r="H356" s="14">
        <v>1785.3119491195002</v>
      </c>
      <c r="I356" s="14">
        <v>1563.4919548739222</v>
      </c>
      <c r="J356" s="14">
        <v>539.43953840114239</v>
      </c>
    </row>
    <row r="357" spans="1:10" ht="15.75" x14ac:dyDescent="0.5">
      <c r="A357" s="13" t="s">
        <v>268</v>
      </c>
      <c r="B357" s="13" t="s">
        <v>405</v>
      </c>
      <c r="C357" s="13" t="s">
        <v>400</v>
      </c>
      <c r="D357" s="14">
        <v>1259.389129088994</v>
      </c>
      <c r="E357" s="14">
        <v>1336.5446458328188</v>
      </c>
      <c r="F357" s="14">
        <v>1387.2590189286043</v>
      </c>
      <c r="G357" s="14">
        <v>1198.5660198864994</v>
      </c>
      <c r="H357" s="14">
        <v>552.10594864962366</v>
      </c>
      <c r="I357" s="14">
        <v>462.98068879023702</v>
      </c>
      <c r="J357" s="14">
        <v>183.97327310625005</v>
      </c>
    </row>
    <row r="358" spans="1:10" ht="15.75" x14ac:dyDescent="0.5">
      <c r="A358" s="13" t="s">
        <v>268</v>
      </c>
      <c r="B358" s="13" t="s">
        <v>406</v>
      </c>
      <c r="C358" s="13" t="s">
        <v>400</v>
      </c>
      <c r="D358" s="14">
        <v>23.479196814299335</v>
      </c>
      <c r="E358" s="14">
        <v>22.091214410816928</v>
      </c>
      <c r="F358" s="14">
        <v>44.861175581637823</v>
      </c>
      <c r="G358" s="14">
        <v>49.717309873551088</v>
      </c>
      <c r="H358" s="14">
        <v>64.431307581169534</v>
      </c>
      <c r="I358" s="14">
        <v>69.864735941208082</v>
      </c>
      <c r="J358" s="14">
        <v>84.830292289952709</v>
      </c>
    </row>
    <row r="359" spans="1:10" ht="15.75" x14ac:dyDescent="0.5">
      <c r="A359" s="13" t="s">
        <v>268</v>
      </c>
      <c r="B359" s="13" t="s">
        <v>407</v>
      </c>
      <c r="C359" s="13" t="s">
        <v>400</v>
      </c>
      <c r="D359" s="14" t="s">
        <v>250</v>
      </c>
      <c r="E359" s="14">
        <v>112.99443495804539</v>
      </c>
      <c r="F359" s="14">
        <v>117.46207246940085</v>
      </c>
      <c r="G359" s="14">
        <v>283.27807510781827</v>
      </c>
      <c r="H359" s="14">
        <v>132.64971532438162</v>
      </c>
      <c r="I359" s="14">
        <v>46.422225673005116</v>
      </c>
      <c r="J359" s="14">
        <v>164.5290210002654</v>
      </c>
    </row>
    <row r="360" spans="1:10" ht="15.75" x14ac:dyDescent="0.5">
      <c r="A360" s="13" t="s">
        <v>268</v>
      </c>
      <c r="B360" s="13" t="s">
        <v>408</v>
      </c>
      <c r="C360" s="13" t="s">
        <v>400</v>
      </c>
      <c r="D360" s="14">
        <v>46.892290321001219</v>
      </c>
      <c r="E360" s="14">
        <v>35.202825044705875</v>
      </c>
      <c r="F360" s="14">
        <v>32.060524901091689</v>
      </c>
      <c r="G360" s="14">
        <v>46.758950594627628</v>
      </c>
      <c r="H360" s="14">
        <v>43.571755223031246</v>
      </c>
      <c r="I360" s="14">
        <v>32.519266628411621</v>
      </c>
      <c r="J360" s="14">
        <v>44.910790374566353</v>
      </c>
    </row>
    <row r="361" spans="1:10" ht="15.75" x14ac:dyDescent="0.5">
      <c r="A361" s="13" t="s">
        <v>268</v>
      </c>
      <c r="B361" s="13" t="s">
        <v>409</v>
      </c>
      <c r="C361" s="13" t="s">
        <v>400</v>
      </c>
      <c r="D361" s="14">
        <v>18.365704270000037</v>
      </c>
      <c r="E361" s="14">
        <v>18.365704270000034</v>
      </c>
      <c r="F361" s="14">
        <v>18.365704270000037</v>
      </c>
      <c r="G361" s="14">
        <v>18.365704270000034</v>
      </c>
      <c r="H361" s="14">
        <v>18.36570427000003</v>
      </c>
      <c r="I361" s="14">
        <v>18.365704270000034</v>
      </c>
      <c r="J361" s="14">
        <v>18.365704270000041</v>
      </c>
    </row>
    <row r="362" spans="1:10" ht="15.75" x14ac:dyDescent="0.5">
      <c r="A362" s="13" t="s">
        <v>268</v>
      </c>
      <c r="B362" s="13" t="s">
        <v>410</v>
      </c>
      <c r="C362" s="13" t="s">
        <v>400</v>
      </c>
      <c r="D362" s="14">
        <v>245.79356253202209</v>
      </c>
      <c r="E362" s="14">
        <v>245.10770063478</v>
      </c>
      <c r="F362" s="14">
        <v>246.12445039380725</v>
      </c>
      <c r="G362" s="14">
        <v>246.14904191601707</v>
      </c>
      <c r="H362" s="14">
        <v>246.05269246690727</v>
      </c>
      <c r="I362" s="14">
        <v>245.79617141468177</v>
      </c>
      <c r="J362" s="14">
        <v>246.16815623114459</v>
      </c>
    </row>
    <row r="363" spans="1:10" ht="15.75" x14ac:dyDescent="0.5">
      <c r="A363" s="13" t="s">
        <v>268</v>
      </c>
      <c r="B363" s="13" t="s">
        <v>411</v>
      </c>
      <c r="C363" s="13" t="s">
        <v>400</v>
      </c>
      <c r="D363" s="14">
        <v>7.1394000000000153</v>
      </c>
      <c r="E363" s="14">
        <v>5.8260569343065827</v>
      </c>
      <c r="F363" s="14" t="s">
        <v>250</v>
      </c>
      <c r="G363" s="14" t="s">
        <v>250</v>
      </c>
      <c r="H363" s="14" t="s">
        <v>250</v>
      </c>
      <c r="I363" s="14" t="s">
        <v>250</v>
      </c>
      <c r="J363" s="14" t="s">
        <v>250</v>
      </c>
    </row>
    <row r="364" spans="1:10" ht="15.75" x14ac:dyDescent="0.5">
      <c r="A364" s="13" t="s">
        <v>268</v>
      </c>
      <c r="B364" s="13" t="s">
        <v>412</v>
      </c>
      <c r="C364" s="13" t="s">
        <v>400</v>
      </c>
      <c r="D364" s="14">
        <v>760.72545968400175</v>
      </c>
      <c r="E364" s="14">
        <v>747.80058578953469</v>
      </c>
      <c r="F364" s="14">
        <v>643.47529088431725</v>
      </c>
      <c r="G364" s="14">
        <v>710.90332403772265</v>
      </c>
      <c r="H364" s="14">
        <v>712.31835995801498</v>
      </c>
      <c r="I364" s="14">
        <v>652.24057374034476</v>
      </c>
      <c r="J364" s="14">
        <v>1665.7695373806901</v>
      </c>
    </row>
    <row r="365" spans="1:10" ht="15.75" x14ac:dyDescent="0.5">
      <c r="A365" s="13" t="s">
        <v>268</v>
      </c>
      <c r="B365" s="13" t="s">
        <v>413</v>
      </c>
      <c r="C365" s="13" t="s">
        <v>400</v>
      </c>
      <c r="D365" s="14">
        <v>23.702927619886133</v>
      </c>
      <c r="E365" s="14">
        <v>20.979818962387451</v>
      </c>
      <c r="F365" s="14">
        <v>7.3039093557135537</v>
      </c>
      <c r="G365" s="14">
        <v>2.3702399803504561</v>
      </c>
      <c r="H365" s="14">
        <v>1.1625172697521853</v>
      </c>
      <c r="I365" s="14">
        <v>8.4074321183196118E-2</v>
      </c>
      <c r="J365" s="14" t="s">
        <v>250</v>
      </c>
    </row>
    <row r="366" spans="1:10" ht="15.75" x14ac:dyDescent="0.5">
      <c r="A366" s="13" t="s">
        <v>268</v>
      </c>
      <c r="B366" s="13" t="s">
        <v>414</v>
      </c>
      <c r="C366" s="13" t="s">
        <v>400</v>
      </c>
      <c r="D366" s="14">
        <v>0.6803907705109502</v>
      </c>
      <c r="E366" s="14">
        <v>24.062027500498463</v>
      </c>
      <c r="F366" s="14">
        <v>94.565151288042728</v>
      </c>
      <c r="G366" s="14">
        <v>188.62404403935085</v>
      </c>
      <c r="H366" s="14">
        <v>228.17903999429166</v>
      </c>
      <c r="I366" s="14">
        <v>228.75625871642643</v>
      </c>
      <c r="J366" s="14">
        <v>229.16855780366612</v>
      </c>
    </row>
    <row r="367" spans="1:10" ht="15.75" x14ac:dyDescent="0.5">
      <c r="A367" s="13" t="s">
        <v>268</v>
      </c>
      <c r="B367" s="13" t="s">
        <v>415</v>
      </c>
      <c r="C367" s="13" t="s">
        <v>400</v>
      </c>
      <c r="D367" s="14">
        <v>440.5312448325555</v>
      </c>
      <c r="E367" s="14">
        <v>870.81150762276548</v>
      </c>
      <c r="F367" s="14">
        <v>1358.0082163416625</v>
      </c>
      <c r="G367" s="14">
        <v>1453.8010878048833</v>
      </c>
      <c r="H367" s="14">
        <v>1904.6129503022748</v>
      </c>
      <c r="I367" s="14">
        <v>2795.1934428547843</v>
      </c>
      <c r="J367" s="14">
        <v>3267.1865798609215</v>
      </c>
    </row>
    <row r="368" spans="1:10" ht="15.75" x14ac:dyDescent="0.5">
      <c r="A368" s="13" t="s">
        <v>268</v>
      </c>
      <c r="B368" s="13" t="s">
        <v>416</v>
      </c>
      <c r="C368" s="13" t="s">
        <v>400</v>
      </c>
      <c r="D368" s="14" t="s">
        <v>250</v>
      </c>
      <c r="E368" s="14">
        <v>54.174742594980998</v>
      </c>
      <c r="F368" s="14">
        <v>66.675949052097494</v>
      </c>
      <c r="G368" s="14">
        <v>76.801435170202112</v>
      </c>
      <c r="H368" s="14">
        <v>77.990654991853759</v>
      </c>
      <c r="I368" s="14">
        <v>82.683057309487623</v>
      </c>
      <c r="J368" s="14">
        <v>94.727837483420913</v>
      </c>
    </row>
    <row r="369" spans="1:10" ht="15.75" x14ac:dyDescent="0.5">
      <c r="A369" s="13" t="s">
        <v>268</v>
      </c>
      <c r="B369" s="13" t="s">
        <v>417</v>
      </c>
      <c r="C369" s="13" t="s">
        <v>400</v>
      </c>
      <c r="D369" s="14">
        <v>187.48709633408697</v>
      </c>
      <c r="E369" s="14">
        <v>302.85053665531098</v>
      </c>
      <c r="F369" s="14">
        <v>345.3024967262005</v>
      </c>
      <c r="G369" s="14">
        <v>492.82119050106888</v>
      </c>
      <c r="H369" s="14">
        <v>951.02223545338438</v>
      </c>
      <c r="I369" s="14">
        <v>1816.2979656832993</v>
      </c>
      <c r="J369" s="14">
        <v>1994.6583940733128</v>
      </c>
    </row>
    <row r="370" spans="1:10" ht="15.75" x14ac:dyDescent="0.5">
      <c r="A370" s="13" t="s">
        <v>268</v>
      </c>
      <c r="B370" s="13" t="s">
        <v>418</v>
      </c>
      <c r="C370" s="13" t="s">
        <v>400</v>
      </c>
      <c r="D370" s="14">
        <v>3.184175173101953</v>
      </c>
      <c r="E370" s="14">
        <v>3.1841751731019539</v>
      </c>
      <c r="F370" s="14">
        <v>3.1841751731019534</v>
      </c>
      <c r="G370" s="14">
        <v>3.1841751731019525</v>
      </c>
      <c r="H370" s="14">
        <v>3.1841751731019534</v>
      </c>
      <c r="I370" s="14">
        <v>3.1841751731019539</v>
      </c>
      <c r="J370" s="14">
        <v>3.1841751731019534</v>
      </c>
    </row>
    <row r="371" spans="1:10" ht="15.75" x14ac:dyDescent="0.5">
      <c r="A371" s="13" t="s">
        <v>268</v>
      </c>
      <c r="B371" s="13" t="s">
        <v>419</v>
      </c>
      <c r="C371" s="13" t="s">
        <v>400</v>
      </c>
      <c r="D371" s="14">
        <v>0.54465920264079493</v>
      </c>
      <c r="E371" s="14">
        <v>8.539083632577146</v>
      </c>
      <c r="F371" s="14">
        <v>21.262369392625168</v>
      </c>
      <c r="G371" s="14">
        <v>43.475873418176583</v>
      </c>
      <c r="H371" s="14">
        <v>96.931924631282257</v>
      </c>
      <c r="I371" s="14">
        <v>414.75147930533399</v>
      </c>
      <c r="J371" s="14">
        <v>716.26172429803273</v>
      </c>
    </row>
    <row r="372" spans="1:10" ht="15.75" x14ac:dyDescent="0.5">
      <c r="A372" s="13" t="s">
        <v>268</v>
      </c>
      <c r="B372" s="13" t="s">
        <v>420</v>
      </c>
      <c r="C372" s="13" t="s">
        <v>400</v>
      </c>
      <c r="D372" s="14">
        <v>-13.987252957808337</v>
      </c>
      <c r="E372" s="14">
        <v>-13.846725166650268</v>
      </c>
      <c r="F372" s="14">
        <v>-13.889062306167649</v>
      </c>
      <c r="G372" s="14">
        <v>-11.63064982352504</v>
      </c>
      <c r="H372" s="14">
        <v>-15.043692784280463</v>
      </c>
      <c r="I372" s="14">
        <v>-15.991851019771399</v>
      </c>
      <c r="J372" s="14">
        <v>-15.588979898665823</v>
      </c>
    </row>
    <row r="373" spans="1:10" ht="15.75" x14ac:dyDescent="0.5">
      <c r="A373" s="13" t="s">
        <v>269</v>
      </c>
      <c r="B373" s="13" t="s">
        <v>399</v>
      </c>
      <c r="C373" s="13" t="s">
        <v>400</v>
      </c>
      <c r="D373" s="14">
        <v>7.2499064625597898</v>
      </c>
      <c r="E373" s="14">
        <v>4.2389343065693544E-2</v>
      </c>
      <c r="F373" s="14">
        <v>0.51246000000000114</v>
      </c>
      <c r="G373" s="14">
        <v>2.1335777179973539</v>
      </c>
      <c r="H373" s="14">
        <v>1.1025083211678854</v>
      </c>
      <c r="I373" s="14">
        <v>1.3680000000000036E-2</v>
      </c>
      <c r="J373" s="14">
        <v>0.59750594798563028</v>
      </c>
    </row>
    <row r="374" spans="1:10" ht="15.75" x14ac:dyDescent="0.5">
      <c r="A374" s="13" t="s">
        <v>269</v>
      </c>
      <c r="B374" s="13" t="s">
        <v>401</v>
      </c>
      <c r="C374" s="13" t="s">
        <v>400</v>
      </c>
      <c r="D374" s="14" t="s">
        <v>250</v>
      </c>
      <c r="E374" s="14" t="s">
        <v>250</v>
      </c>
      <c r="F374" s="14">
        <v>131.65604010795425</v>
      </c>
      <c r="G374" s="14">
        <v>131.65604010795428</v>
      </c>
      <c r="H374" s="14">
        <v>29.957132848828842</v>
      </c>
      <c r="I374" s="14">
        <v>21.128078086801732</v>
      </c>
      <c r="J374" s="14" t="s">
        <v>250</v>
      </c>
    </row>
    <row r="375" spans="1:10" ht="15.75" x14ac:dyDescent="0.5">
      <c r="A375" s="13" t="s">
        <v>269</v>
      </c>
      <c r="B375" s="13" t="s">
        <v>402</v>
      </c>
      <c r="C375" s="13" t="s">
        <v>400</v>
      </c>
      <c r="D375" s="14">
        <v>1072.9916742877465</v>
      </c>
      <c r="E375" s="14">
        <v>403.99369361803343</v>
      </c>
      <c r="F375" s="14">
        <v>167.58745180766763</v>
      </c>
      <c r="G375" s="14">
        <v>134.86338193657801</v>
      </c>
      <c r="H375" s="14">
        <v>190.05844116374959</v>
      </c>
      <c r="I375" s="14">
        <v>51.975827222492164</v>
      </c>
      <c r="J375" s="14" t="s">
        <v>250</v>
      </c>
    </row>
    <row r="376" spans="1:10" ht="15.75" x14ac:dyDescent="0.5">
      <c r="A376" s="13" t="s">
        <v>269</v>
      </c>
      <c r="B376" s="13" t="s">
        <v>403</v>
      </c>
      <c r="C376" s="13" t="s">
        <v>400</v>
      </c>
      <c r="D376" s="14" t="s">
        <v>250</v>
      </c>
      <c r="E376" s="14" t="s">
        <v>250</v>
      </c>
      <c r="F376" s="14">
        <v>75.801010754194934</v>
      </c>
      <c r="G376" s="14">
        <v>75.801010754194948</v>
      </c>
      <c r="H376" s="14">
        <v>15.282085360648663</v>
      </c>
      <c r="I376" s="14">
        <v>15.282085360648662</v>
      </c>
      <c r="J376" s="14" t="s">
        <v>250</v>
      </c>
    </row>
    <row r="377" spans="1:10" ht="15.75" x14ac:dyDescent="0.5">
      <c r="A377" s="13" t="s">
        <v>269</v>
      </c>
      <c r="B377" s="13" t="s">
        <v>404</v>
      </c>
      <c r="C377" s="13" t="s">
        <v>400</v>
      </c>
      <c r="D377" s="14" t="s">
        <v>250</v>
      </c>
      <c r="E377" s="14" t="s">
        <v>250</v>
      </c>
      <c r="F377" s="14" t="s">
        <v>250</v>
      </c>
      <c r="G377" s="14" t="s">
        <v>250</v>
      </c>
      <c r="H377" s="14" t="s">
        <v>250</v>
      </c>
      <c r="I377" s="14">
        <v>0.33069896914528535</v>
      </c>
      <c r="J377" s="14">
        <v>14.243796641233592</v>
      </c>
    </row>
    <row r="378" spans="1:10" ht="15.75" x14ac:dyDescent="0.5">
      <c r="A378" s="13" t="s">
        <v>269</v>
      </c>
      <c r="B378" s="13" t="s">
        <v>421</v>
      </c>
      <c r="C378" s="13" t="s">
        <v>400</v>
      </c>
      <c r="D378" s="14" t="s">
        <v>250</v>
      </c>
      <c r="E378" s="14" t="s">
        <v>250</v>
      </c>
      <c r="F378" s="14" t="s">
        <v>250</v>
      </c>
      <c r="G378" s="14">
        <v>621.91169343871502</v>
      </c>
      <c r="H378" s="14">
        <v>1667.9694339639652</v>
      </c>
      <c r="I378" s="14">
        <v>1429.8275610430353</v>
      </c>
      <c r="J378" s="14">
        <v>269.16478925536677</v>
      </c>
    </row>
    <row r="379" spans="1:10" ht="15.75" x14ac:dyDescent="0.5">
      <c r="A379" s="13" t="s">
        <v>269</v>
      </c>
      <c r="B379" s="13" t="s">
        <v>405</v>
      </c>
      <c r="C379" s="13" t="s">
        <v>400</v>
      </c>
      <c r="D379" s="14">
        <v>1259.389129088994</v>
      </c>
      <c r="E379" s="14">
        <v>1337.1170219054327</v>
      </c>
      <c r="F379" s="14">
        <v>1367.6404879708705</v>
      </c>
      <c r="G379" s="14">
        <v>1192.7523703978136</v>
      </c>
      <c r="H379" s="14">
        <v>545.33580805628549</v>
      </c>
      <c r="I379" s="14">
        <v>451.98919863543819</v>
      </c>
      <c r="J379" s="14">
        <v>159.15950688602331</v>
      </c>
    </row>
    <row r="380" spans="1:10" ht="15.75" x14ac:dyDescent="0.5">
      <c r="A380" s="13" t="s">
        <v>269</v>
      </c>
      <c r="B380" s="13" t="s">
        <v>406</v>
      </c>
      <c r="C380" s="13" t="s">
        <v>400</v>
      </c>
      <c r="D380" s="14">
        <v>23.479196814299332</v>
      </c>
      <c r="E380" s="14">
        <v>22.418423448931215</v>
      </c>
      <c r="F380" s="14">
        <v>45.237160529093394</v>
      </c>
      <c r="G380" s="14">
        <v>50.705657545552299</v>
      </c>
      <c r="H380" s="14">
        <v>67.145423865060962</v>
      </c>
      <c r="I380" s="14">
        <v>81.577565728873026</v>
      </c>
      <c r="J380" s="14">
        <v>111.96106363500579</v>
      </c>
    </row>
    <row r="381" spans="1:10" ht="15.75" x14ac:dyDescent="0.5">
      <c r="A381" s="13" t="s">
        <v>269</v>
      </c>
      <c r="B381" s="13" t="s">
        <v>407</v>
      </c>
      <c r="C381" s="13" t="s">
        <v>400</v>
      </c>
      <c r="D381" s="14" t="s">
        <v>250</v>
      </c>
      <c r="E381" s="14">
        <v>108.17841327577271</v>
      </c>
      <c r="F381" s="14">
        <v>114.30338689449988</v>
      </c>
      <c r="G381" s="14">
        <v>293.01202414166698</v>
      </c>
      <c r="H381" s="14">
        <v>119.30657983001828</v>
      </c>
      <c r="I381" s="14">
        <v>28.714922520435771</v>
      </c>
      <c r="J381" s="14">
        <v>57.232106809771793</v>
      </c>
    </row>
    <row r="382" spans="1:10" ht="15.75" x14ac:dyDescent="0.5">
      <c r="A382" s="13" t="s">
        <v>269</v>
      </c>
      <c r="B382" s="13" t="s">
        <v>408</v>
      </c>
      <c r="C382" s="13" t="s">
        <v>400</v>
      </c>
      <c r="D382" s="14">
        <v>46.892290321001227</v>
      </c>
      <c r="E382" s="14">
        <v>35.251636737507795</v>
      </c>
      <c r="F382" s="14">
        <v>32.068594762871768</v>
      </c>
      <c r="G382" s="14">
        <v>46.942168708728929</v>
      </c>
      <c r="H382" s="14">
        <v>42.51436209684335</v>
      </c>
      <c r="I382" s="14">
        <v>28.274598058327758</v>
      </c>
      <c r="J382" s="14">
        <v>35.854961677034062</v>
      </c>
    </row>
    <row r="383" spans="1:10" ht="15.75" x14ac:dyDescent="0.5">
      <c r="A383" s="13" t="s">
        <v>269</v>
      </c>
      <c r="B383" s="13" t="s">
        <v>409</v>
      </c>
      <c r="C383" s="13" t="s">
        <v>400</v>
      </c>
      <c r="D383" s="14">
        <v>18.365704270000037</v>
      </c>
      <c r="E383" s="14">
        <v>18.365704270000037</v>
      </c>
      <c r="F383" s="14">
        <v>18.365704270000034</v>
      </c>
      <c r="G383" s="14">
        <v>18.365704270000034</v>
      </c>
      <c r="H383" s="14">
        <v>18.365704270000034</v>
      </c>
      <c r="I383" s="14">
        <v>18.151385134000037</v>
      </c>
      <c r="J383" s="14">
        <v>18.365704270000034</v>
      </c>
    </row>
    <row r="384" spans="1:10" ht="15.75" x14ac:dyDescent="0.5">
      <c r="A384" s="13" t="s">
        <v>269</v>
      </c>
      <c r="B384" s="13" t="s">
        <v>410</v>
      </c>
      <c r="C384" s="13" t="s">
        <v>400</v>
      </c>
      <c r="D384" s="14">
        <v>245.79356253202212</v>
      </c>
      <c r="E384" s="14">
        <v>245.11547225728694</v>
      </c>
      <c r="F384" s="14">
        <v>246.1244503939462</v>
      </c>
      <c r="G384" s="14">
        <v>246.14318347045139</v>
      </c>
      <c r="H384" s="14">
        <v>246.01888929516517</v>
      </c>
      <c r="I384" s="14">
        <v>245.5478275924763</v>
      </c>
      <c r="J384" s="14">
        <v>245.91192199310029</v>
      </c>
    </row>
    <row r="385" spans="1:10" ht="15.75" x14ac:dyDescent="0.5">
      <c r="A385" s="13" t="s">
        <v>269</v>
      </c>
      <c r="B385" s="13" t="s">
        <v>411</v>
      </c>
      <c r="C385" s="13" t="s">
        <v>400</v>
      </c>
      <c r="D385" s="14">
        <v>7.1394000000000197</v>
      </c>
      <c r="E385" s="14">
        <v>5.8260569343065836</v>
      </c>
      <c r="F385" s="14" t="s">
        <v>250</v>
      </c>
      <c r="G385" s="14" t="s">
        <v>250</v>
      </c>
      <c r="H385" s="14" t="s">
        <v>250</v>
      </c>
      <c r="I385" s="14" t="s">
        <v>250</v>
      </c>
      <c r="J385" s="14" t="s">
        <v>250</v>
      </c>
    </row>
    <row r="386" spans="1:10" ht="15.75" x14ac:dyDescent="0.5">
      <c r="A386" s="13" t="s">
        <v>269</v>
      </c>
      <c r="B386" s="13" t="s">
        <v>412</v>
      </c>
      <c r="C386" s="13" t="s">
        <v>400</v>
      </c>
      <c r="D386" s="14">
        <v>760.72545968400163</v>
      </c>
      <c r="E386" s="14">
        <v>750.19640025122112</v>
      </c>
      <c r="F386" s="14">
        <v>651.4573698546501</v>
      </c>
      <c r="G386" s="14">
        <v>742.74083760813789</v>
      </c>
      <c r="H386" s="14">
        <v>832.85471125454228</v>
      </c>
      <c r="I386" s="14">
        <v>1225.2853883860687</v>
      </c>
      <c r="J386" s="14">
        <v>3066.4523270399013</v>
      </c>
    </row>
    <row r="387" spans="1:10" ht="15.75" x14ac:dyDescent="0.5">
      <c r="A387" s="13" t="s">
        <v>269</v>
      </c>
      <c r="B387" s="13" t="s">
        <v>413</v>
      </c>
      <c r="C387" s="13" t="s">
        <v>400</v>
      </c>
      <c r="D387" s="14">
        <v>23.702927619886133</v>
      </c>
      <c r="E387" s="14">
        <v>21.440045912868491</v>
      </c>
      <c r="F387" s="14">
        <v>7.0152309033492752</v>
      </c>
      <c r="G387" s="14">
        <v>2.2386473015412895</v>
      </c>
      <c r="H387" s="14">
        <v>1.4993897404429035</v>
      </c>
      <c r="I387" s="14">
        <v>0.16133702382526022</v>
      </c>
      <c r="J387" s="14" t="s">
        <v>250</v>
      </c>
    </row>
    <row r="388" spans="1:10" ht="15.75" x14ac:dyDescent="0.5">
      <c r="A388" s="13" t="s">
        <v>269</v>
      </c>
      <c r="B388" s="13" t="s">
        <v>414</v>
      </c>
      <c r="C388" s="13" t="s">
        <v>400</v>
      </c>
      <c r="D388" s="14">
        <v>0.68039077051095043</v>
      </c>
      <c r="E388" s="14">
        <v>24.062027500498459</v>
      </c>
      <c r="F388" s="14">
        <v>94.576172652279126</v>
      </c>
      <c r="G388" s="14">
        <v>188.65399547216052</v>
      </c>
      <c r="H388" s="14">
        <v>228.20910409706806</v>
      </c>
      <c r="I388" s="14">
        <v>228.78641045139921</v>
      </c>
      <c r="J388" s="14">
        <v>229.19877213306481</v>
      </c>
    </row>
    <row r="389" spans="1:10" ht="15.75" x14ac:dyDescent="0.5">
      <c r="A389" s="13" t="s">
        <v>269</v>
      </c>
      <c r="B389" s="13" t="s">
        <v>415</v>
      </c>
      <c r="C389" s="13" t="s">
        <v>400</v>
      </c>
      <c r="D389" s="14">
        <v>440.53124483255556</v>
      </c>
      <c r="E389" s="14">
        <v>870.80243085624465</v>
      </c>
      <c r="F389" s="14">
        <v>1351.5122955310999</v>
      </c>
      <c r="G389" s="14">
        <v>1429.1752651541374</v>
      </c>
      <c r="H389" s="14">
        <v>1912.1856704978818</v>
      </c>
      <c r="I389" s="14">
        <v>2620.0859196433757</v>
      </c>
      <c r="J389" s="14">
        <v>2654.7978517702127</v>
      </c>
    </row>
    <row r="390" spans="1:10" ht="15.75" x14ac:dyDescent="0.5">
      <c r="A390" s="13" t="s">
        <v>269</v>
      </c>
      <c r="B390" s="13" t="s">
        <v>416</v>
      </c>
      <c r="C390" s="13" t="s">
        <v>400</v>
      </c>
      <c r="D390" s="14" t="s">
        <v>250</v>
      </c>
      <c r="E390" s="14">
        <v>54.174742594981005</v>
      </c>
      <c r="F390" s="14">
        <v>66.675949052097479</v>
      </c>
      <c r="G390" s="14">
        <v>76.80143517020214</v>
      </c>
      <c r="H390" s="14">
        <v>77.990654991853731</v>
      </c>
      <c r="I390" s="14">
        <v>82.683057309487637</v>
      </c>
      <c r="J390" s="14">
        <v>94.72783748342097</v>
      </c>
    </row>
    <row r="391" spans="1:10" ht="15.75" x14ac:dyDescent="0.5">
      <c r="A391" s="13" t="s">
        <v>269</v>
      </c>
      <c r="B391" s="13" t="s">
        <v>417</v>
      </c>
      <c r="C391" s="13" t="s">
        <v>400</v>
      </c>
      <c r="D391" s="14">
        <v>187.48709633408697</v>
      </c>
      <c r="E391" s="14">
        <v>302.94276049449672</v>
      </c>
      <c r="F391" s="14">
        <v>345.42509638141695</v>
      </c>
      <c r="G391" s="14">
        <v>504.14849007438335</v>
      </c>
      <c r="H391" s="14">
        <v>951.33200865439903</v>
      </c>
      <c r="I391" s="14">
        <v>1460.7037822791679</v>
      </c>
      <c r="J391" s="14">
        <v>1544.966491607868</v>
      </c>
    </row>
    <row r="392" spans="1:10" ht="15.75" x14ac:dyDescent="0.5">
      <c r="A392" s="13" t="s">
        <v>269</v>
      </c>
      <c r="B392" s="13" t="s">
        <v>418</v>
      </c>
      <c r="C392" s="13" t="s">
        <v>400</v>
      </c>
      <c r="D392" s="14">
        <v>3.184175173101953</v>
      </c>
      <c r="E392" s="14">
        <v>3.184175173101953</v>
      </c>
      <c r="F392" s="14">
        <v>3.1841751731019534</v>
      </c>
      <c r="G392" s="14">
        <v>3.1841751731019534</v>
      </c>
      <c r="H392" s="14">
        <v>3.1841751731019539</v>
      </c>
      <c r="I392" s="14">
        <v>3.1841751731019534</v>
      </c>
      <c r="J392" s="14">
        <v>3.1841751731019539</v>
      </c>
    </row>
    <row r="393" spans="1:10" ht="15.75" x14ac:dyDescent="0.5">
      <c r="A393" s="13" t="s">
        <v>269</v>
      </c>
      <c r="B393" s="13" t="s">
        <v>419</v>
      </c>
      <c r="C393" s="13" t="s">
        <v>400</v>
      </c>
      <c r="D393" s="14">
        <v>0.54465920264079493</v>
      </c>
      <c r="E393" s="14">
        <v>8.5605514557933713</v>
      </c>
      <c r="F393" s="14">
        <v>20.642760364278121</v>
      </c>
      <c r="G393" s="14">
        <v>41.330828547834315</v>
      </c>
      <c r="H393" s="14">
        <v>79.471030573072028</v>
      </c>
      <c r="I393" s="14">
        <v>205.92512705204894</v>
      </c>
      <c r="J393" s="14">
        <v>228.3021872822811</v>
      </c>
    </row>
    <row r="394" spans="1:10" ht="15.75" x14ac:dyDescent="0.5">
      <c r="A394" s="13" t="s">
        <v>269</v>
      </c>
      <c r="B394" s="13" t="s">
        <v>420</v>
      </c>
      <c r="C394" s="13" t="s">
        <v>400</v>
      </c>
      <c r="D394" s="14">
        <v>-13.98725295780843</v>
      </c>
      <c r="E394" s="14">
        <v>-13.899193516501793</v>
      </c>
      <c r="F394" s="14">
        <v>-13.996088543789096</v>
      </c>
      <c r="G394" s="14">
        <v>-12.213252255218954</v>
      </c>
      <c r="H394" s="14">
        <v>-15.811390148938793</v>
      </c>
      <c r="I394" s="14">
        <v>-16.094591672996426</v>
      </c>
      <c r="J394" s="14">
        <v>-19.481439677349492</v>
      </c>
    </row>
    <row r="395" spans="1:10" ht="15.75" x14ac:dyDescent="0.5">
      <c r="A395" s="13" t="s">
        <v>270</v>
      </c>
      <c r="B395" s="13" t="s">
        <v>399</v>
      </c>
      <c r="C395" s="13" t="s">
        <v>400</v>
      </c>
      <c r="D395" s="14">
        <v>7.2499064625597889</v>
      </c>
      <c r="E395" s="14">
        <v>4.2389343065693544E-2</v>
      </c>
      <c r="F395" s="14">
        <v>0.51246000000000114</v>
      </c>
      <c r="G395" s="14">
        <v>1.8381240000000036</v>
      </c>
      <c r="H395" s="14">
        <v>3.2400657084311524</v>
      </c>
      <c r="I395" s="14">
        <v>2.285068558899424</v>
      </c>
      <c r="J395" s="14">
        <v>2.361077781021903</v>
      </c>
    </row>
    <row r="396" spans="1:10" ht="15.75" x14ac:dyDescent="0.5">
      <c r="A396" s="13" t="s">
        <v>270</v>
      </c>
      <c r="B396" s="13" t="s">
        <v>401</v>
      </c>
      <c r="C396" s="13" t="s">
        <v>400</v>
      </c>
      <c r="D396" s="14" t="s">
        <v>250</v>
      </c>
      <c r="E396" s="14" t="s">
        <v>250</v>
      </c>
      <c r="F396" s="14">
        <v>74.795505321783082</v>
      </c>
      <c r="G396" s="14">
        <v>74.795505321783068</v>
      </c>
      <c r="H396" s="14">
        <v>16.241807815502597</v>
      </c>
      <c r="I396" s="14">
        <v>16.193212028875681</v>
      </c>
      <c r="J396" s="14" t="s">
        <v>250</v>
      </c>
    </row>
    <row r="397" spans="1:10" ht="15.75" x14ac:dyDescent="0.5">
      <c r="A397" s="13" t="s">
        <v>270</v>
      </c>
      <c r="B397" s="13" t="s">
        <v>402</v>
      </c>
      <c r="C397" s="13" t="s">
        <v>400</v>
      </c>
      <c r="D397" s="14">
        <v>1072.9916742877463</v>
      </c>
      <c r="E397" s="14">
        <v>400.05590674836884</v>
      </c>
      <c r="F397" s="14">
        <v>211.53600729407285</v>
      </c>
      <c r="G397" s="14">
        <v>340.62329431249663</v>
      </c>
      <c r="H397" s="14">
        <v>360.82773657736965</v>
      </c>
      <c r="I397" s="14">
        <v>370.04136063437716</v>
      </c>
      <c r="J397" s="14">
        <v>343.4184676102152</v>
      </c>
    </row>
    <row r="398" spans="1:10" ht="15.75" x14ac:dyDescent="0.5">
      <c r="A398" s="13" t="s">
        <v>270</v>
      </c>
      <c r="B398" s="13" t="s">
        <v>403</v>
      </c>
      <c r="C398" s="13" t="s">
        <v>400</v>
      </c>
      <c r="D398" s="14" t="s">
        <v>250</v>
      </c>
      <c r="E398" s="14" t="s">
        <v>250</v>
      </c>
      <c r="F398" s="14">
        <v>18.575892738336016</v>
      </c>
      <c r="G398" s="14">
        <v>18.575892738336005</v>
      </c>
      <c r="H398" s="14">
        <v>3.7251121801475957</v>
      </c>
      <c r="I398" s="14">
        <v>3.7251121801475948</v>
      </c>
      <c r="J398" s="14" t="s">
        <v>250</v>
      </c>
    </row>
    <row r="399" spans="1:10" ht="15.75" x14ac:dyDescent="0.5">
      <c r="A399" s="13" t="s">
        <v>270</v>
      </c>
      <c r="B399" s="13" t="s">
        <v>404</v>
      </c>
      <c r="C399" s="13" t="s">
        <v>400</v>
      </c>
      <c r="D399" s="14" t="s">
        <v>250</v>
      </c>
      <c r="E399" s="14" t="s">
        <v>250</v>
      </c>
      <c r="F399" s="14" t="s">
        <v>250</v>
      </c>
      <c r="G399" s="14" t="s">
        <v>250</v>
      </c>
      <c r="H399" s="14" t="s">
        <v>250</v>
      </c>
      <c r="I399" s="14">
        <v>0.33069896914528535</v>
      </c>
      <c r="J399" s="14">
        <v>0.33069896914528535</v>
      </c>
    </row>
    <row r="400" spans="1:10" ht="15.75" x14ac:dyDescent="0.5">
      <c r="A400" s="13" t="s">
        <v>270</v>
      </c>
      <c r="B400" s="13" t="s">
        <v>405</v>
      </c>
      <c r="C400" s="13" t="s">
        <v>400</v>
      </c>
      <c r="D400" s="14">
        <v>1259.3891290889947</v>
      </c>
      <c r="E400" s="14">
        <v>1343.219327589102</v>
      </c>
      <c r="F400" s="14">
        <v>1501.7848002297594</v>
      </c>
      <c r="G400" s="14">
        <v>1955.2339353747545</v>
      </c>
      <c r="H400" s="14">
        <v>2828.4134504619342</v>
      </c>
      <c r="I400" s="14">
        <v>3167.6516710676924</v>
      </c>
      <c r="J400" s="14">
        <v>3128.6528374287309</v>
      </c>
    </row>
    <row r="401" spans="1:10" ht="15.75" x14ac:dyDescent="0.5">
      <c r="A401" s="13" t="s">
        <v>270</v>
      </c>
      <c r="B401" s="13" t="s">
        <v>406</v>
      </c>
      <c r="C401" s="13" t="s">
        <v>400</v>
      </c>
      <c r="D401" s="14">
        <v>23.479196814299328</v>
      </c>
      <c r="E401" s="14">
        <v>20.562021980649021</v>
      </c>
      <c r="F401" s="14">
        <v>42.230875884874777</v>
      </c>
      <c r="G401" s="14">
        <v>43.023826010061057</v>
      </c>
      <c r="H401" s="14">
        <v>43.01889741107847</v>
      </c>
      <c r="I401" s="14">
        <v>43.019085392753524</v>
      </c>
      <c r="J401" s="14">
        <v>42.619899762138189</v>
      </c>
    </row>
    <row r="402" spans="1:10" ht="15.75" x14ac:dyDescent="0.5">
      <c r="A402" s="13" t="s">
        <v>270</v>
      </c>
      <c r="B402" s="13" t="s">
        <v>407</v>
      </c>
      <c r="C402" s="13" t="s">
        <v>400</v>
      </c>
      <c r="D402" s="14" t="s">
        <v>250</v>
      </c>
      <c r="E402" s="14">
        <v>117.07459837994004</v>
      </c>
      <c r="F402" s="14">
        <v>75.920934029105851</v>
      </c>
      <c r="G402" s="14">
        <v>226.897462583909</v>
      </c>
      <c r="H402" s="14">
        <v>217.80947164462543</v>
      </c>
      <c r="I402" s="14">
        <v>307.84192040630052</v>
      </c>
      <c r="J402" s="14">
        <v>203.24264413894781</v>
      </c>
    </row>
    <row r="403" spans="1:10" ht="15.75" x14ac:dyDescent="0.5">
      <c r="A403" s="13" t="s">
        <v>270</v>
      </c>
      <c r="B403" s="13" t="s">
        <v>408</v>
      </c>
      <c r="C403" s="13" t="s">
        <v>400</v>
      </c>
      <c r="D403" s="14">
        <v>46.892290321001248</v>
      </c>
      <c r="E403" s="14">
        <v>35.13368999468355</v>
      </c>
      <c r="F403" s="14">
        <v>31.882764940282023</v>
      </c>
      <c r="G403" s="14">
        <v>45.823709653044581</v>
      </c>
      <c r="H403" s="14">
        <v>45.587556984680518</v>
      </c>
      <c r="I403" s="14">
        <v>46.426629680398996</v>
      </c>
      <c r="J403" s="14">
        <v>45.992602005815264</v>
      </c>
    </row>
    <row r="404" spans="1:10" ht="15.75" x14ac:dyDescent="0.5">
      <c r="A404" s="13" t="s">
        <v>270</v>
      </c>
      <c r="B404" s="13" t="s">
        <v>409</v>
      </c>
      <c r="C404" s="13" t="s">
        <v>400</v>
      </c>
      <c r="D404" s="14">
        <v>18.365704270000037</v>
      </c>
      <c r="E404" s="14">
        <v>18.365704270000037</v>
      </c>
      <c r="F404" s="14">
        <v>18.365704270000034</v>
      </c>
      <c r="G404" s="14">
        <v>18.365704270000034</v>
      </c>
      <c r="H404" s="14">
        <v>18.36570427000003</v>
      </c>
      <c r="I404" s="14">
        <v>18.365704270000034</v>
      </c>
      <c r="J404" s="14">
        <v>18.36570427000003</v>
      </c>
    </row>
    <row r="405" spans="1:10" ht="15.75" x14ac:dyDescent="0.5">
      <c r="A405" s="13" t="s">
        <v>270</v>
      </c>
      <c r="B405" s="13" t="s">
        <v>410</v>
      </c>
      <c r="C405" s="13" t="s">
        <v>400</v>
      </c>
      <c r="D405" s="14">
        <v>245.79356253202218</v>
      </c>
      <c r="E405" s="14">
        <v>244.93814647809941</v>
      </c>
      <c r="F405" s="14">
        <v>246.12445039394578</v>
      </c>
      <c r="G405" s="14">
        <v>246.15024386095277</v>
      </c>
      <c r="H405" s="14">
        <v>246.16997594139113</v>
      </c>
      <c r="I405" s="14">
        <v>246.16997594139096</v>
      </c>
      <c r="J405" s="14">
        <v>246.16997594139107</v>
      </c>
    </row>
    <row r="406" spans="1:10" ht="15.75" x14ac:dyDescent="0.5">
      <c r="A406" s="13" t="s">
        <v>270</v>
      </c>
      <c r="B406" s="13" t="s">
        <v>411</v>
      </c>
      <c r="C406" s="13" t="s">
        <v>400</v>
      </c>
      <c r="D406" s="14">
        <v>7.1394000000000162</v>
      </c>
      <c r="E406" s="14">
        <v>6.2946555081296296</v>
      </c>
      <c r="F406" s="14">
        <v>1.9272000000000054</v>
      </c>
      <c r="G406" s="14">
        <v>1.9272000000000054</v>
      </c>
      <c r="H406" s="14">
        <v>1.9272000000000056</v>
      </c>
      <c r="I406" s="14">
        <v>1.9272000000000056</v>
      </c>
      <c r="J406" s="14">
        <v>1.9272000000000051</v>
      </c>
    </row>
    <row r="407" spans="1:10" ht="15.75" x14ac:dyDescent="0.5">
      <c r="A407" s="13" t="s">
        <v>270</v>
      </c>
      <c r="B407" s="13" t="s">
        <v>412</v>
      </c>
      <c r="C407" s="13" t="s">
        <v>400</v>
      </c>
      <c r="D407" s="14">
        <v>760.72545968400163</v>
      </c>
      <c r="E407" s="14">
        <v>747.50631697519168</v>
      </c>
      <c r="F407" s="14">
        <v>645.82058343670963</v>
      </c>
      <c r="G407" s="14">
        <v>713.85579441756693</v>
      </c>
      <c r="H407" s="14">
        <v>721.92012025274835</v>
      </c>
      <c r="I407" s="14">
        <v>721.92012025274823</v>
      </c>
      <c r="J407" s="14">
        <v>721.92012025274801</v>
      </c>
    </row>
    <row r="408" spans="1:10" ht="15.75" x14ac:dyDescent="0.5">
      <c r="A408" s="13" t="s">
        <v>270</v>
      </c>
      <c r="B408" s="13" t="s">
        <v>413</v>
      </c>
      <c r="C408" s="13" t="s">
        <v>400</v>
      </c>
      <c r="D408" s="14">
        <v>23.702927619886133</v>
      </c>
      <c r="E408" s="14">
        <v>20.515193299471143</v>
      </c>
      <c r="F408" s="14">
        <v>5.9011139140444993</v>
      </c>
      <c r="G408" s="14">
        <v>2.7802123379241741</v>
      </c>
      <c r="H408" s="14">
        <v>1.9172338892049177</v>
      </c>
      <c r="I408" s="14">
        <v>1.2685277223976761</v>
      </c>
      <c r="J408" s="14">
        <v>0.78650934306569453</v>
      </c>
    </row>
    <row r="409" spans="1:10" ht="15.75" x14ac:dyDescent="0.5">
      <c r="A409" s="13" t="s">
        <v>270</v>
      </c>
      <c r="B409" s="13" t="s">
        <v>414</v>
      </c>
      <c r="C409" s="13" t="s">
        <v>400</v>
      </c>
      <c r="D409" s="14">
        <v>0.6803907705109502</v>
      </c>
      <c r="E409" s="14">
        <v>25.08331823039893</v>
      </c>
      <c r="F409" s="14">
        <v>94.573454877536477</v>
      </c>
      <c r="G409" s="14">
        <v>188.44487755666685</v>
      </c>
      <c r="H409" s="14">
        <v>240.51520408805348</v>
      </c>
      <c r="I409" s="14">
        <v>241.12838081504211</v>
      </c>
      <c r="J409" s="14">
        <v>241.56636419146301</v>
      </c>
    </row>
    <row r="410" spans="1:10" ht="15.75" x14ac:dyDescent="0.5">
      <c r="A410" s="13" t="s">
        <v>270</v>
      </c>
      <c r="B410" s="13" t="s">
        <v>415</v>
      </c>
      <c r="C410" s="13" t="s">
        <v>400</v>
      </c>
      <c r="D410" s="14">
        <v>440.53124483255573</v>
      </c>
      <c r="E410" s="14">
        <v>866.7893386528475</v>
      </c>
      <c r="F410" s="14">
        <v>1337.1312632947615</v>
      </c>
      <c r="G410" s="14">
        <v>1422.4629083960165</v>
      </c>
      <c r="H410" s="14">
        <v>1550.0839819697148</v>
      </c>
      <c r="I410" s="14">
        <v>1676.6699127437364</v>
      </c>
      <c r="J410" s="14">
        <v>1827.7204371231392</v>
      </c>
    </row>
    <row r="411" spans="1:10" ht="15.75" x14ac:dyDescent="0.5">
      <c r="A411" s="13" t="s">
        <v>270</v>
      </c>
      <c r="B411" s="13" t="s">
        <v>416</v>
      </c>
      <c r="C411" s="13" t="s">
        <v>400</v>
      </c>
      <c r="D411" s="14" t="s">
        <v>250</v>
      </c>
      <c r="E411" s="14">
        <v>54.174742594981012</v>
      </c>
      <c r="F411" s="14">
        <v>66.675949052097494</v>
      </c>
      <c r="G411" s="14">
        <v>76.801435170202112</v>
      </c>
      <c r="H411" s="14">
        <v>77.990654991853717</v>
      </c>
      <c r="I411" s="14">
        <v>82.68305730948768</v>
      </c>
      <c r="J411" s="14">
        <v>94.727837483420913</v>
      </c>
    </row>
    <row r="412" spans="1:10" ht="15.75" x14ac:dyDescent="0.5">
      <c r="A412" s="13" t="s">
        <v>270</v>
      </c>
      <c r="B412" s="13" t="s">
        <v>417</v>
      </c>
      <c r="C412" s="13" t="s">
        <v>400</v>
      </c>
      <c r="D412" s="14">
        <v>187.48709633408697</v>
      </c>
      <c r="E412" s="14">
        <v>301.28762495502014</v>
      </c>
      <c r="F412" s="14">
        <v>343.48190969769718</v>
      </c>
      <c r="G412" s="14">
        <v>402.87058475580199</v>
      </c>
      <c r="H412" s="14">
        <v>544.16449119330866</v>
      </c>
      <c r="I412" s="14">
        <v>871.35533645633268</v>
      </c>
      <c r="J412" s="14">
        <v>1515.2609079605654</v>
      </c>
    </row>
    <row r="413" spans="1:10" ht="15.75" x14ac:dyDescent="0.5">
      <c r="A413" s="13" t="s">
        <v>270</v>
      </c>
      <c r="B413" s="13" t="s">
        <v>418</v>
      </c>
      <c r="C413" s="13" t="s">
        <v>400</v>
      </c>
      <c r="D413" s="14">
        <v>3.1841751731019534</v>
      </c>
      <c r="E413" s="14">
        <v>3.184175173101953</v>
      </c>
      <c r="F413" s="14">
        <v>3.1841751731019534</v>
      </c>
      <c r="G413" s="14">
        <v>3.184175173101953</v>
      </c>
      <c r="H413" s="14">
        <v>3.1841751731019539</v>
      </c>
      <c r="I413" s="14">
        <v>3.1841751731019534</v>
      </c>
      <c r="J413" s="14">
        <v>3.1841751731019534</v>
      </c>
    </row>
    <row r="414" spans="1:10" ht="15.75" x14ac:dyDescent="0.5">
      <c r="A414" s="13" t="s">
        <v>270</v>
      </c>
      <c r="B414" s="13" t="s">
        <v>419</v>
      </c>
      <c r="C414" s="13" t="s">
        <v>400</v>
      </c>
      <c r="D414" s="14">
        <v>0.54465920264079493</v>
      </c>
      <c r="E414" s="14">
        <v>8.1398425120783671</v>
      </c>
      <c r="F414" s="14">
        <v>20.491918582415391</v>
      </c>
      <c r="G414" s="14">
        <v>18.768113457559028</v>
      </c>
      <c r="H414" s="14">
        <v>23.199898419564001</v>
      </c>
      <c r="I414" s="14">
        <v>30.051223437449067</v>
      </c>
      <c r="J414" s="14">
        <v>62.060266324629644</v>
      </c>
    </row>
    <row r="415" spans="1:10" ht="15.75" x14ac:dyDescent="0.5">
      <c r="A415" s="13" t="s">
        <v>270</v>
      </c>
      <c r="B415" s="13" t="s">
        <v>420</v>
      </c>
      <c r="C415" s="13" t="s">
        <v>400</v>
      </c>
      <c r="D415" s="14">
        <v>-13.987252957808355</v>
      </c>
      <c r="E415" s="14">
        <v>-13.691054887585612</v>
      </c>
      <c r="F415" s="14">
        <v>-13.212283301036273</v>
      </c>
      <c r="G415" s="14">
        <v>-13.283847100434645</v>
      </c>
      <c r="H415" s="14">
        <v>-12.939693580269836</v>
      </c>
      <c r="I415" s="14">
        <v>-13.68075633258465</v>
      </c>
      <c r="J415" s="14">
        <v>-15.424813136509909</v>
      </c>
    </row>
    <row r="416" spans="1:10" ht="15.75" x14ac:dyDescent="0.5">
      <c r="A416" s="13" t="s">
        <v>271</v>
      </c>
      <c r="B416" s="13" t="s">
        <v>399</v>
      </c>
      <c r="C416" s="13" t="s">
        <v>400</v>
      </c>
      <c r="D416" s="14">
        <v>7.249906462559788</v>
      </c>
      <c r="E416" s="14">
        <v>4.2389343065693544E-2</v>
      </c>
      <c r="F416" s="14">
        <v>0.51246000000000103</v>
      </c>
      <c r="G416" s="14">
        <v>1.8381240000000039</v>
      </c>
      <c r="H416" s="14">
        <v>3.2462094163560504</v>
      </c>
      <c r="I416" s="14">
        <v>2.0227831758300487</v>
      </c>
      <c r="J416" s="14">
        <v>1.5077068683020405</v>
      </c>
    </row>
    <row r="417" spans="1:10" ht="15.75" x14ac:dyDescent="0.5">
      <c r="A417" s="13" t="s">
        <v>271</v>
      </c>
      <c r="B417" s="13" t="s">
        <v>401</v>
      </c>
      <c r="C417" s="13" t="s">
        <v>400</v>
      </c>
      <c r="D417" s="14" t="s">
        <v>250</v>
      </c>
      <c r="E417" s="14" t="s">
        <v>250</v>
      </c>
      <c r="F417" s="14">
        <v>74.870568901205175</v>
      </c>
      <c r="G417" s="14">
        <v>74.870568901205175</v>
      </c>
      <c r="H417" s="14">
        <v>16.282026678514594</v>
      </c>
      <c r="I417" s="14">
        <v>16.233430891887682</v>
      </c>
      <c r="J417" s="14" t="s">
        <v>250</v>
      </c>
    </row>
    <row r="418" spans="1:10" ht="15.75" x14ac:dyDescent="0.5">
      <c r="A418" s="13" t="s">
        <v>271</v>
      </c>
      <c r="B418" s="13" t="s">
        <v>402</v>
      </c>
      <c r="C418" s="13" t="s">
        <v>400</v>
      </c>
      <c r="D418" s="14">
        <v>1072.9916742877469</v>
      </c>
      <c r="E418" s="14">
        <v>399.92271631499153</v>
      </c>
      <c r="F418" s="14">
        <v>212.14721829420407</v>
      </c>
      <c r="G418" s="14">
        <v>340.72235214593513</v>
      </c>
      <c r="H418" s="14">
        <v>359.99457161109353</v>
      </c>
      <c r="I418" s="14">
        <v>370.26139893334732</v>
      </c>
      <c r="J418" s="14">
        <v>348.27607821869344</v>
      </c>
    </row>
    <row r="419" spans="1:10" ht="15.75" x14ac:dyDescent="0.5">
      <c r="A419" s="13" t="s">
        <v>271</v>
      </c>
      <c r="B419" s="13" t="s">
        <v>403</v>
      </c>
      <c r="C419" s="13" t="s">
        <v>400</v>
      </c>
      <c r="D419" s="14" t="s">
        <v>250</v>
      </c>
      <c r="E419" s="14" t="s">
        <v>250</v>
      </c>
      <c r="F419" s="14">
        <v>18.08801539656799</v>
      </c>
      <c r="G419" s="14">
        <v>18.08801539656799</v>
      </c>
      <c r="H419" s="14">
        <v>3.6272758148197841</v>
      </c>
      <c r="I419" s="14">
        <v>3.6272758148197841</v>
      </c>
      <c r="J419" s="14" t="s">
        <v>250</v>
      </c>
    </row>
    <row r="420" spans="1:10" ht="15.75" x14ac:dyDescent="0.5">
      <c r="A420" s="13" t="s">
        <v>271</v>
      </c>
      <c r="B420" s="13" t="s">
        <v>404</v>
      </c>
      <c r="C420" s="13" t="s">
        <v>400</v>
      </c>
      <c r="D420" s="14" t="s">
        <v>250</v>
      </c>
      <c r="E420" s="14" t="s">
        <v>250</v>
      </c>
      <c r="F420" s="14" t="s">
        <v>250</v>
      </c>
      <c r="G420" s="14" t="s">
        <v>250</v>
      </c>
      <c r="H420" s="14" t="s">
        <v>250</v>
      </c>
      <c r="I420" s="14">
        <v>0.33069896914528535</v>
      </c>
      <c r="J420" s="14">
        <v>0.33069896914528535</v>
      </c>
    </row>
    <row r="421" spans="1:10" ht="15.75" x14ac:dyDescent="0.5">
      <c r="A421" s="13" t="s">
        <v>271</v>
      </c>
      <c r="B421" s="13" t="s">
        <v>405</v>
      </c>
      <c r="C421" s="13" t="s">
        <v>400</v>
      </c>
      <c r="D421" s="14">
        <v>1259.3891290889951</v>
      </c>
      <c r="E421" s="14">
        <v>1343.5699508192372</v>
      </c>
      <c r="F421" s="14">
        <v>1502.5525355747802</v>
      </c>
      <c r="G421" s="14">
        <v>1956.061728711732</v>
      </c>
      <c r="H421" s="14">
        <v>2828.828356345105</v>
      </c>
      <c r="I421" s="14">
        <v>3154.403059301681</v>
      </c>
      <c r="J421" s="14">
        <v>3011.9848537651665</v>
      </c>
    </row>
    <row r="422" spans="1:10" ht="15.75" x14ac:dyDescent="0.5">
      <c r="A422" s="13" t="s">
        <v>271</v>
      </c>
      <c r="B422" s="13" t="s">
        <v>406</v>
      </c>
      <c r="C422" s="13" t="s">
        <v>400</v>
      </c>
      <c r="D422" s="14">
        <v>23.479196814299339</v>
      </c>
      <c r="E422" s="14">
        <v>20.528665096418372</v>
      </c>
      <c r="F422" s="14">
        <v>42.22408386751632</v>
      </c>
      <c r="G422" s="14">
        <v>42.903520744893399</v>
      </c>
      <c r="H422" s="14">
        <v>42.770625049222332</v>
      </c>
      <c r="I422" s="14">
        <v>42.827777114442299</v>
      </c>
      <c r="J422" s="14">
        <v>42.68594693747842</v>
      </c>
    </row>
    <row r="423" spans="1:10" ht="15.75" x14ac:dyDescent="0.5">
      <c r="A423" s="13" t="s">
        <v>271</v>
      </c>
      <c r="B423" s="13" t="s">
        <v>407</v>
      </c>
      <c r="C423" s="13" t="s">
        <v>400</v>
      </c>
      <c r="D423" s="14" t="s">
        <v>250</v>
      </c>
      <c r="E423" s="14">
        <v>116.82297078926241</v>
      </c>
      <c r="F423" s="14">
        <v>74.617147627303638</v>
      </c>
      <c r="G423" s="14">
        <v>228.16506343406778</v>
      </c>
      <c r="H423" s="14">
        <v>221.23638969747989</v>
      </c>
      <c r="I423" s="14">
        <v>304.2164744864051</v>
      </c>
      <c r="J423" s="14">
        <v>165.32125525005887</v>
      </c>
    </row>
    <row r="424" spans="1:10" ht="15.75" x14ac:dyDescent="0.5">
      <c r="A424" s="13" t="s">
        <v>271</v>
      </c>
      <c r="B424" s="13" t="s">
        <v>408</v>
      </c>
      <c r="C424" s="13" t="s">
        <v>400</v>
      </c>
      <c r="D424" s="14">
        <v>46.892290321001227</v>
      </c>
      <c r="E424" s="14">
        <v>35.133713238091019</v>
      </c>
      <c r="F424" s="14">
        <v>31.866840717147795</v>
      </c>
      <c r="G424" s="14">
        <v>45.821782848514793</v>
      </c>
      <c r="H424" s="14">
        <v>45.727954669595043</v>
      </c>
      <c r="I424" s="14">
        <v>46.684219456353006</v>
      </c>
      <c r="J424" s="14">
        <v>45.500220906338249</v>
      </c>
    </row>
    <row r="425" spans="1:10" ht="15.75" x14ac:dyDescent="0.5">
      <c r="A425" s="13" t="s">
        <v>271</v>
      </c>
      <c r="B425" s="13" t="s">
        <v>409</v>
      </c>
      <c r="C425" s="13" t="s">
        <v>400</v>
      </c>
      <c r="D425" s="14">
        <v>18.365704270000037</v>
      </c>
      <c r="E425" s="14">
        <v>18.365704270000037</v>
      </c>
      <c r="F425" s="14">
        <v>18.36570427000003</v>
      </c>
      <c r="G425" s="14">
        <v>18.36570427000003</v>
      </c>
      <c r="H425" s="14">
        <v>18.365704270000034</v>
      </c>
      <c r="I425" s="14">
        <v>18.36570427000003</v>
      </c>
      <c r="J425" s="14">
        <v>18.365704270000034</v>
      </c>
    </row>
    <row r="426" spans="1:10" ht="15.75" x14ac:dyDescent="0.5">
      <c r="A426" s="13" t="s">
        <v>271</v>
      </c>
      <c r="B426" s="13" t="s">
        <v>410</v>
      </c>
      <c r="C426" s="13" t="s">
        <v>400</v>
      </c>
      <c r="D426" s="14">
        <v>245.79356253202212</v>
      </c>
      <c r="E426" s="14">
        <v>244.93809031428489</v>
      </c>
      <c r="F426" s="14">
        <v>246.11629118329688</v>
      </c>
      <c r="G426" s="14">
        <v>246.14802981926101</v>
      </c>
      <c r="H426" s="14">
        <v>246.16997594139096</v>
      </c>
      <c r="I426" s="14">
        <v>246.16997594139264</v>
      </c>
      <c r="J426" s="14">
        <v>246.16997594139093</v>
      </c>
    </row>
    <row r="427" spans="1:10" ht="15.75" x14ac:dyDescent="0.5">
      <c r="A427" s="13" t="s">
        <v>271</v>
      </c>
      <c r="B427" s="13" t="s">
        <v>411</v>
      </c>
      <c r="C427" s="13" t="s">
        <v>400</v>
      </c>
      <c r="D427" s="14">
        <v>7.1394000000000135</v>
      </c>
      <c r="E427" s="14">
        <v>6.2810842893307601</v>
      </c>
      <c r="F427" s="14">
        <v>1.9272000000000056</v>
      </c>
      <c r="G427" s="14">
        <v>1.9272000000000051</v>
      </c>
      <c r="H427" s="14">
        <v>1.9272000000000054</v>
      </c>
      <c r="I427" s="14">
        <v>1.9272000000000051</v>
      </c>
      <c r="J427" s="14">
        <v>1.9272000000000056</v>
      </c>
    </row>
    <row r="428" spans="1:10" ht="15.75" x14ac:dyDescent="0.5">
      <c r="A428" s="13" t="s">
        <v>271</v>
      </c>
      <c r="B428" s="13" t="s">
        <v>412</v>
      </c>
      <c r="C428" s="13" t="s">
        <v>400</v>
      </c>
      <c r="D428" s="14">
        <v>760.72545968400152</v>
      </c>
      <c r="E428" s="14">
        <v>747.50428479545758</v>
      </c>
      <c r="F428" s="14">
        <v>646.14489201251843</v>
      </c>
      <c r="G428" s="14">
        <v>713.74508857208457</v>
      </c>
      <c r="H428" s="14">
        <v>732.0429952068713</v>
      </c>
      <c r="I428" s="14">
        <v>792.46355561365863</v>
      </c>
      <c r="J428" s="14">
        <v>913.7619825772075</v>
      </c>
    </row>
    <row r="429" spans="1:10" ht="15.75" x14ac:dyDescent="0.5">
      <c r="A429" s="13" t="s">
        <v>271</v>
      </c>
      <c r="B429" s="13" t="s">
        <v>413</v>
      </c>
      <c r="C429" s="13" t="s">
        <v>400</v>
      </c>
      <c r="D429" s="14">
        <v>23.70292761988614</v>
      </c>
      <c r="E429" s="14">
        <v>20.515880455988064</v>
      </c>
      <c r="F429" s="14">
        <v>5.8229206227325685</v>
      </c>
      <c r="G429" s="14">
        <v>2.7602054908311535</v>
      </c>
      <c r="H429" s="14">
        <v>1.9420176548926609</v>
      </c>
      <c r="I429" s="14">
        <v>1.2714030605001327</v>
      </c>
      <c r="J429" s="14">
        <v>0.80176057087202268</v>
      </c>
    </row>
    <row r="430" spans="1:10" ht="15.75" x14ac:dyDescent="0.5">
      <c r="A430" s="13" t="s">
        <v>271</v>
      </c>
      <c r="B430" s="13" t="s">
        <v>414</v>
      </c>
      <c r="C430" s="13" t="s">
        <v>400</v>
      </c>
      <c r="D430" s="14">
        <v>0.6803907705109502</v>
      </c>
      <c r="E430" s="14">
        <v>25.083318187333383</v>
      </c>
      <c r="F430" s="14">
        <v>94.583108739648807</v>
      </c>
      <c r="G430" s="14">
        <v>188.4711130124559</v>
      </c>
      <c r="H430" s="14">
        <v>240.54153823521227</v>
      </c>
      <c r="I430" s="14">
        <v>241.15479172215512</v>
      </c>
      <c r="J430" s="14">
        <v>241.59282992711479</v>
      </c>
    </row>
    <row r="431" spans="1:10" ht="15.75" x14ac:dyDescent="0.5">
      <c r="A431" s="13" t="s">
        <v>271</v>
      </c>
      <c r="B431" s="13" t="s">
        <v>415</v>
      </c>
      <c r="C431" s="13" t="s">
        <v>400</v>
      </c>
      <c r="D431" s="14">
        <v>440.53124483255544</v>
      </c>
      <c r="E431" s="14">
        <v>866.78933926301033</v>
      </c>
      <c r="F431" s="14">
        <v>1337.1913641023225</v>
      </c>
      <c r="G431" s="14">
        <v>1419.424188540268</v>
      </c>
      <c r="H431" s="14">
        <v>1531.6438561333907</v>
      </c>
      <c r="I431" s="14">
        <v>1631.1439142664369</v>
      </c>
      <c r="J431" s="14">
        <v>1755.2110204483697</v>
      </c>
    </row>
    <row r="432" spans="1:10" ht="15.75" x14ac:dyDescent="0.5">
      <c r="A432" s="13" t="s">
        <v>271</v>
      </c>
      <c r="B432" s="13" t="s">
        <v>416</v>
      </c>
      <c r="C432" s="13" t="s">
        <v>400</v>
      </c>
      <c r="D432" s="14" t="s">
        <v>250</v>
      </c>
      <c r="E432" s="14">
        <v>54.174742594981005</v>
      </c>
      <c r="F432" s="14">
        <v>66.675949052097479</v>
      </c>
      <c r="G432" s="14">
        <v>76.801435170202083</v>
      </c>
      <c r="H432" s="14">
        <v>77.990654991853759</v>
      </c>
      <c r="I432" s="14">
        <v>82.683057309487694</v>
      </c>
      <c r="J432" s="14">
        <v>94.727837483420984</v>
      </c>
    </row>
    <row r="433" spans="1:10" ht="15.75" x14ac:dyDescent="0.5">
      <c r="A433" s="13" t="s">
        <v>271</v>
      </c>
      <c r="B433" s="13" t="s">
        <v>417</v>
      </c>
      <c r="C433" s="13" t="s">
        <v>400</v>
      </c>
      <c r="D433" s="14">
        <v>187.48709633408691</v>
      </c>
      <c r="E433" s="14">
        <v>301.28762495502031</v>
      </c>
      <c r="F433" s="14">
        <v>343.48190969769706</v>
      </c>
      <c r="G433" s="14">
        <v>403.98567220726687</v>
      </c>
      <c r="H433" s="14">
        <v>548.16475014225955</v>
      </c>
      <c r="I433" s="14">
        <v>853.51736583440027</v>
      </c>
      <c r="J433" s="14">
        <v>1513.0060796028179</v>
      </c>
    </row>
    <row r="434" spans="1:10" ht="15.75" x14ac:dyDescent="0.5">
      <c r="A434" s="13" t="s">
        <v>271</v>
      </c>
      <c r="B434" s="13" t="s">
        <v>418</v>
      </c>
      <c r="C434" s="13" t="s">
        <v>400</v>
      </c>
      <c r="D434" s="14">
        <v>3.184175173101953</v>
      </c>
      <c r="E434" s="14">
        <v>3.1841751731019539</v>
      </c>
      <c r="F434" s="14">
        <v>3.1841751731019525</v>
      </c>
      <c r="G434" s="14">
        <v>3.184175173101953</v>
      </c>
      <c r="H434" s="14">
        <v>3.1841751731019539</v>
      </c>
      <c r="I434" s="14">
        <v>3.184175173101953</v>
      </c>
      <c r="J434" s="14">
        <v>3.1841751731019534</v>
      </c>
    </row>
    <row r="435" spans="1:10" ht="15.75" x14ac:dyDescent="0.5">
      <c r="A435" s="13" t="s">
        <v>271</v>
      </c>
      <c r="B435" s="13" t="s">
        <v>419</v>
      </c>
      <c r="C435" s="13" t="s">
        <v>400</v>
      </c>
      <c r="D435" s="14">
        <v>0.54465920264079504</v>
      </c>
      <c r="E435" s="14">
        <v>8.1557589941645983</v>
      </c>
      <c r="F435" s="14">
        <v>20.434543531309657</v>
      </c>
      <c r="G435" s="14">
        <v>18.687991404688002</v>
      </c>
      <c r="H435" s="14">
        <v>23.533103651670199</v>
      </c>
      <c r="I435" s="14">
        <v>29.123732928776576</v>
      </c>
      <c r="J435" s="14">
        <v>56.017225029835295</v>
      </c>
    </row>
    <row r="436" spans="1:10" ht="15.75" x14ac:dyDescent="0.5">
      <c r="A436" s="13" t="s">
        <v>271</v>
      </c>
      <c r="B436" s="13" t="s">
        <v>420</v>
      </c>
      <c r="C436" s="13" t="s">
        <v>400</v>
      </c>
      <c r="D436" s="14">
        <v>-13.987252957808469</v>
      </c>
      <c r="E436" s="14">
        <v>-13.689990416821892</v>
      </c>
      <c r="F436" s="14">
        <v>-13.224138913137159</v>
      </c>
      <c r="G436" s="14">
        <v>-13.411397525659741</v>
      </c>
      <c r="H436" s="14">
        <v>-12.875162148688817</v>
      </c>
      <c r="I436" s="14">
        <v>-13.504313950314341</v>
      </c>
      <c r="J436" s="14">
        <v>-14.992184664858016</v>
      </c>
    </row>
    <row r="437" spans="1:10" ht="15.75" x14ac:dyDescent="0.5">
      <c r="A437" s="13" t="s">
        <v>272</v>
      </c>
      <c r="B437" s="13" t="s">
        <v>399</v>
      </c>
      <c r="C437" s="13" t="s">
        <v>400</v>
      </c>
      <c r="D437" s="14">
        <v>7.2499064625597889</v>
      </c>
      <c r="E437" s="14">
        <v>0.29730534306569412</v>
      </c>
      <c r="F437" s="14">
        <v>0.51246000000000103</v>
      </c>
      <c r="G437" s="14">
        <v>1.8381240000000039</v>
      </c>
      <c r="H437" s="14">
        <v>2.5236868905109548</v>
      </c>
      <c r="I437" s="14">
        <v>1.1324243874378239</v>
      </c>
      <c r="J437" s="14">
        <v>0.1815109489051098</v>
      </c>
    </row>
    <row r="438" spans="1:10" ht="15.75" x14ac:dyDescent="0.5">
      <c r="A438" s="13" t="s">
        <v>272</v>
      </c>
      <c r="B438" s="13" t="s">
        <v>401</v>
      </c>
      <c r="C438" s="13" t="s">
        <v>400</v>
      </c>
      <c r="D438" s="14" t="s">
        <v>250</v>
      </c>
      <c r="E438" s="14" t="s">
        <v>250</v>
      </c>
      <c r="F438" s="14">
        <v>81.737420537757259</v>
      </c>
      <c r="G438" s="14">
        <v>81.737420537757245</v>
      </c>
      <c r="H438" s="14">
        <v>20.41947480719643</v>
      </c>
      <c r="I438" s="14">
        <v>15.409777329219565</v>
      </c>
      <c r="J438" s="14" t="s">
        <v>250</v>
      </c>
    </row>
    <row r="439" spans="1:10" ht="15.75" x14ac:dyDescent="0.5">
      <c r="A439" s="13" t="s">
        <v>272</v>
      </c>
      <c r="B439" s="13" t="s">
        <v>402</v>
      </c>
      <c r="C439" s="13" t="s">
        <v>400</v>
      </c>
      <c r="D439" s="14">
        <v>1072.991674287746</v>
      </c>
      <c r="E439" s="14">
        <v>402.16278795313451</v>
      </c>
      <c r="F439" s="14">
        <v>205.55859625471123</v>
      </c>
      <c r="G439" s="14">
        <v>332.06196985543011</v>
      </c>
      <c r="H439" s="14">
        <v>331.18926463331434</v>
      </c>
      <c r="I439" s="14">
        <v>299.59895611893813</v>
      </c>
      <c r="J439" s="14">
        <v>213.82081314327169</v>
      </c>
    </row>
    <row r="440" spans="1:10" ht="15.75" x14ac:dyDescent="0.5">
      <c r="A440" s="13" t="s">
        <v>272</v>
      </c>
      <c r="B440" s="13" t="s">
        <v>403</v>
      </c>
      <c r="C440" s="13" t="s">
        <v>400</v>
      </c>
      <c r="D440" s="14" t="s">
        <v>250</v>
      </c>
      <c r="E440" s="14" t="s">
        <v>250</v>
      </c>
      <c r="F440" s="14">
        <v>20.652761712000043</v>
      </c>
      <c r="G440" s="14">
        <v>20.652761712000043</v>
      </c>
      <c r="H440" s="14">
        <v>4.1415966000000086</v>
      </c>
      <c r="I440" s="14">
        <v>4.1415966000000095</v>
      </c>
      <c r="J440" s="14" t="s">
        <v>250</v>
      </c>
    </row>
    <row r="441" spans="1:10" ht="15.75" x14ac:dyDescent="0.5">
      <c r="A441" s="13" t="s">
        <v>272</v>
      </c>
      <c r="B441" s="13" t="s">
        <v>404</v>
      </c>
      <c r="C441" s="13" t="s">
        <v>400</v>
      </c>
      <c r="D441" s="14" t="s">
        <v>250</v>
      </c>
      <c r="E441" s="14" t="s">
        <v>250</v>
      </c>
      <c r="F441" s="14" t="s">
        <v>250</v>
      </c>
      <c r="G441" s="14" t="s">
        <v>250</v>
      </c>
      <c r="H441" s="14" t="s">
        <v>250</v>
      </c>
      <c r="I441" s="14">
        <v>0.33069896914528535</v>
      </c>
      <c r="J441" s="14">
        <v>0.33069896914528535</v>
      </c>
    </row>
    <row r="442" spans="1:10" ht="15.75" x14ac:dyDescent="0.5">
      <c r="A442" s="13" t="s">
        <v>272</v>
      </c>
      <c r="B442" s="13" t="s">
        <v>405</v>
      </c>
      <c r="C442" s="13" t="s">
        <v>400</v>
      </c>
      <c r="D442" s="14">
        <v>1259.3891290889942</v>
      </c>
      <c r="E442" s="14">
        <v>1333.1870096894224</v>
      </c>
      <c r="F442" s="14">
        <v>1496.7312003295865</v>
      </c>
      <c r="G442" s="14">
        <v>1936.6477121092057</v>
      </c>
      <c r="H442" s="14">
        <v>2356.7893739713904</v>
      </c>
      <c r="I442" s="14">
        <v>1968.2471175771977</v>
      </c>
      <c r="J442" s="14">
        <v>1266.0564122047865</v>
      </c>
    </row>
    <row r="443" spans="1:10" ht="15.75" x14ac:dyDescent="0.5">
      <c r="A443" s="13" t="s">
        <v>272</v>
      </c>
      <c r="B443" s="13" t="s">
        <v>406</v>
      </c>
      <c r="C443" s="13" t="s">
        <v>400</v>
      </c>
      <c r="D443" s="14">
        <v>23.479196814299332</v>
      </c>
      <c r="E443" s="14">
        <v>21.368645266430892</v>
      </c>
      <c r="F443" s="14">
        <v>42.235901087537684</v>
      </c>
      <c r="G443" s="14">
        <v>43.013956578670026</v>
      </c>
      <c r="H443" s="14">
        <v>43.402084648194162</v>
      </c>
      <c r="I443" s="14">
        <v>42.796584755284663</v>
      </c>
      <c r="J443" s="14">
        <v>41.271485068936713</v>
      </c>
    </row>
    <row r="444" spans="1:10" ht="15.75" x14ac:dyDescent="0.5">
      <c r="A444" s="13" t="s">
        <v>272</v>
      </c>
      <c r="B444" s="13" t="s">
        <v>407</v>
      </c>
      <c r="C444" s="13" t="s">
        <v>400</v>
      </c>
      <c r="D444" s="14" t="s">
        <v>250</v>
      </c>
      <c r="E444" s="14">
        <v>118.91831151460316</v>
      </c>
      <c r="F444" s="14">
        <v>70.429279382123468</v>
      </c>
      <c r="G444" s="14">
        <v>238.36042076085275</v>
      </c>
      <c r="H444" s="14">
        <v>188.01915903562977</v>
      </c>
      <c r="I444" s="14">
        <v>139.590126660875</v>
      </c>
      <c r="J444" s="14">
        <v>91.335581653252191</v>
      </c>
    </row>
    <row r="445" spans="1:10" ht="15.75" x14ac:dyDescent="0.5">
      <c r="A445" s="13" t="s">
        <v>272</v>
      </c>
      <c r="B445" s="13" t="s">
        <v>408</v>
      </c>
      <c r="C445" s="13" t="s">
        <v>400</v>
      </c>
      <c r="D445" s="14">
        <v>46.892290321001219</v>
      </c>
      <c r="E445" s="14">
        <v>35.037955769065725</v>
      </c>
      <c r="F445" s="14">
        <v>31.424852733724432</v>
      </c>
      <c r="G445" s="14">
        <v>45.930089388657194</v>
      </c>
      <c r="H445" s="14">
        <v>44.635864518848521</v>
      </c>
      <c r="I445" s="14">
        <v>43.819883227776685</v>
      </c>
      <c r="J445" s="14">
        <v>42.981871621671303</v>
      </c>
    </row>
    <row r="446" spans="1:10" ht="15.75" x14ac:dyDescent="0.5">
      <c r="A446" s="13" t="s">
        <v>272</v>
      </c>
      <c r="B446" s="13" t="s">
        <v>409</v>
      </c>
      <c r="C446" s="13" t="s">
        <v>400</v>
      </c>
      <c r="D446" s="14">
        <v>18.365704270000034</v>
      </c>
      <c r="E446" s="14">
        <v>18.365704270000037</v>
      </c>
      <c r="F446" s="14">
        <v>18.36570427000003</v>
      </c>
      <c r="G446" s="14">
        <v>18.365704270000034</v>
      </c>
      <c r="H446" s="14">
        <v>18.36570427000003</v>
      </c>
      <c r="I446" s="14">
        <v>18.365704270000034</v>
      </c>
      <c r="J446" s="14">
        <v>18.365704270000034</v>
      </c>
    </row>
    <row r="447" spans="1:10" ht="15.75" x14ac:dyDescent="0.5">
      <c r="A447" s="13" t="s">
        <v>272</v>
      </c>
      <c r="B447" s="13" t="s">
        <v>410</v>
      </c>
      <c r="C447" s="13" t="s">
        <v>400</v>
      </c>
      <c r="D447" s="14">
        <v>245.79356253202209</v>
      </c>
      <c r="E447" s="14">
        <v>244.94903270973043</v>
      </c>
      <c r="F447" s="14">
        <v>246.0596742073634</v>
      </c>
      <c r="G447" s="14">
        <v>246.16953280241282</v>
      </c>
      <c r="H447" s="14">
        <v>246.16997594139099</v>
      </c>
      <c r="I447" s="14">
        <v>246.16953280241319</v>
      </c>
      <c r="J447" s="14">
        <v>246.16953280241296</v>
      </c>
    </row>
    <row r="448" spans="1:10" ht="15.75" x14ac:dyDescent="0.5">
      <c r="A448" s="13" t="s">
        <v>272</v>
      </c>
      <c r="B448" s="13" t="s">
        <v>411</v>
      </c>
      <c r="C448" s="13" t="s">
        <v>400</v>
      </c>
      <c r="D448" s="14">
        <v>7.139400000000018</v>
      </c>
      <c r="E448" s="14">
        <v>6.1027419995784244</v>
      </c>
      <c r="F448" s="14">
        <v>1.9272000000000054</v>
      </c>
      <c r="G448" s="14">
        <v>1.9272000000000056</v>
      </c>
      <c r="H448" s="14">
        <v>1.9272000000000056</v>
      </c>
      <c r="I448" s="14">
        <v>1.9272000000000054</v>
      </c>
      <c r="J448" s="14" t="s">
        <v>250</v>
      </c>
    </row>
    <row r="449" spans="1:10" ht="15.75" x14ac:dyDescent="0.5">
      <c r="A449" s="13" t="s">
        <v>272</v>
      </c>
      <c r="B449" s="13" t="s">
        <v>412</v>
      </c>
      <c r="C449" s="13" t="s">
        <v>400</v>
      </c>
      <c r="D449" s="14">
        <v>760.72545968400175</v>
      </c>
      <c r="E449" s="14">
        <v>754.71470867916082</v>
      </c>
      <c r="F449" s="14">
        <v>670.38397403251327</v>
      </c>
      <c r="G449" s="14">
        <v>790.18624848100694</v>
      </c>
      <c r="H449" s="14">
        <v>1462.1036378049769</v>
      </c>
      <c r="I449" s="14">
        <v>2687.1536132590149</v>
      </c>
      <c r="J449" s="14">
        <v>3379.2913004947313</v>
      </c>
    </row>
    <row r="450" spans="1:10" ht="15.75" x14ac:dyDescent="0.5">
      <c r="A450" s="13" t="s">
        <v>272</v>
      </c>
      <c r="B450" s="13" t="s">
        <v>413</v>
      </c>
      <c r="C450" s="13" t="s">
        <v>400</v>
      </c>
      <c r="D450" s="14">
        <v>23.70292761988614</v>
      </c>
      <c r="E450" s="14">
        <v>21.058793256111869</v>
      </c>
      <c r="F450" s="14">
        <v>5.7842688424055115</v>
      </c>
      <c r="G450" s="14">
        <v>3.5514187271858555</v>
      </c>
      <c r="H450" s="14">
        <v>2.0948902860970451</v>
      </c>
      <c r="I450" s="14">
        <v>1.3512981300046856</v>
      </c>
      <c r="J450" s="14">
        <v>0.78449038748105204</v>
      </c>
    </row>
    <row r="451" spans="1:10" ht="15.75" x14ac:dyDescent="0.5">
      <c r="A451" s="13" t="s">
        <v>272</v>
      </c>
      <c r="B451" s="13" t="s">
        <v>414</v>
      </c>
      <c r="C451" s="13" t="s">
        <v>400</v>
      </c>
      <c r="D451" s="14">
        <v>0.6803907705109502</v>
      </c>
      <c r="E451" s="14">
        <v>25.071554741020652</v>
      </c>
      <c r="F451" s="14">
        <v>94.580158612778234</v>
      </c>
      <c r="G451" s="14">
        <v>188.54468450762764</v>
      </c>
      <c r="H451" s="14">
        <v>240.60611842000586</v>
      </c>
      <c r="I451" s="14">
        <v>241.21956014817016</v>
      </c>
      <c r="J451" s="14">
        <v>241.65773281114519</v>
      </c>
    </row>
    <row r="452" spans="1:10" ht="15.75" x14ac:dyDescent="0.5">
      <c r="A452" s="13" t="s">
        <v>272</v>
      </c>
      <c r="B452" s="13" t="s">
        <v>415</v>
      </c>
      <c r="C452" s="13" t="s">
        <v>400</v>
      </c>
      <c r="D452" s="14">
        <v>440.53124483255544</v>
      </c>
      <c r="E452" s="14">
        <v>864.19715641123969</v>
      </c>
      <c r="F452" s="14">
        <v>1318.0696710884681</v>
      </c>
      <c r="G452" s="14">
        <v>1370.15264932382</v>
      </c>
      <c r="H452" s="14">
        <v>1442.7230858517942</v>
      </c>
      <c r="I452" s="14">
        <v>1488.811297967738</v>
      </c>
      <c r="J452" s="14">
        <v>1502.47020288163</v>
      </c>
    </row>
    <row r="453" spans="1:10" ht="15.75" x14ac:dyDescent="0.5">
      <c r="A453" s="13" t="s">
        <v>272</v>
      </c>
      <c r="B453" s="13" t="s">
        <v>416</v>
      </c>
      <c r="C453" s="13" t="s">
        <v>400</v>
      </c>
      <c r="D453" s="14" t="s">
        <v>250</v>
      </c>
      <c r="E453" s="14">
        <v>54.174742594980977</v>
      </c>
      <c r="F453" s="14">
        <v>66.675949052097465</v>
      </c>
      <c r="G453" s="14">
        <v>76.801435170202112</v>
      </c>
      <c r="H453" s="14">
        <v>77.990654991853717</v>
      </c>
      <c r="I453" s="14">
        <v>82.683057309487651</v>
      </c>
      <c r="J453" s="14">
        <v>94.72783748342097</v>
      </c>
    </row>
    <row r="454" spans="1:10" ht="15.75" x14ac:dyDescent="0.5">
      <c r="A454" s="13" t="s">
        <v>272</v>
      </c>
      <c r="B454" s="13" t="s">
        <v>417</v>
      </c>
      <c r="C454" s="13" t="s">
        <v>400</v>
      </c>
      <c r="D454" s="14">
        <v>187.48709633408694</v>
      </c>
      <c r="E454" s="14">
        <v>301.27702622378956</v>
      </c>
      <c r="F454" s="14">
        <v>343.46782005660145</v>
      </c>
      <c r="G454" s="14">
        <v>381.23028141910248</v>
      </c>
      <c r="H454" s="14">
        <v>436.72220107667169</v>
      </c>
      <c r="I454" s="14">
        <v>532.79809733630043</v>
      </c>
      <c r="J454" s="14">
        <v>1256.0934161207913</v>
      </c>
    </row>
    <row r="455" spans="1:10" ht="15.75" x14ac:dyDescent="0.5">
      <c r="A455" s="13" t="s">
        <v>272</v>
      </c>
      <c r="B455" s="13" t="s">
        <v>418</v>
      </c>
      <c r="C455" s="13" t="s">
        <v>400</v>
      </c>
      <c r="D455" s="14">
        <v>3.1841751731019539</v>
      </c>
      <c r="E455" s="14">
        <v>3.1841751731019534</v>
      </c>
      <c r="F455" s="14">
        <v>3.1841751731019534</v>
      </c>
      <c r="G455" s="14">
        <v>3.1841751731019534</v>
      </c>
      <c r="H455" s="14">
        <v>3.1841751731019539</v>
      </c>
      <c r="I455" s="14">
        <v>3.184175173101953</v>
      </c>
      <c r="J455" s="14">
        <v>3.184175173101953</v>
      </c>
    </row>
    <row r="456" spans="1:10" ht="15.75" x14ac:dyDescent="0.5">
      <c r="A456" s="13" t="s">
        <v>272</v>
      </c>
      <c r="B456" s="13" t="s">
        <v>419</v>
      </c>
      <c r="C456" s="13" t="s">
        <v>400</v>
      </c>
      <c r="D456" s="14">
        <v>0.54465920264079504</v>
      </c>
      <c r="E456" s="14">
        <v>8.0181558547494696</v>
      </c>
      <c r="F456" s="14">
        <v>19.911369446293232</v>
      </c>
      <c r="G456" s="14">
        <v>18.336303157830546</v>
      </c>
      <c r="H456" s="14">
        <v>20.327400075131919</v>
      </c>
      <c r="I456" s="14">
        <v>20.566194544737144</v>
      </c>
      <c r="J456" s="14">
        <v>45.112899291098152</v>
      </c>
    </row>
    <row r="457" spans="1:10" ht="15.75" x14ac:dyDescent="0.5">
      <c r="A457" s="13" t="s">
        <v>272</v>
      </c>
      <c r="B457" s="13" t="s">
        <v>420</v>
      </c>
      <c r="C457" s="13" t="s">
        <v>400</v>
      </c>
      <c r="D457" s="14">
        <v>-13.987252957808401</v>
      </c>
      <c r="E457" s="14">
        <v>-13.816740778419216</v>
      </c>
      <c r="F457" s="14">
        <v>-13.466985157444793</v>
      </c>
      <c r="G457" s="14">
        <v>-13.609997087796113</v>
      </c>
      <c r="H457" s="14">
        <v>-12.292836692159918</v>
      </c>
      <c r="I457" s="14">
        <v>-12.977619757401275</v>
      </c>
      <c r="J457" s="14">
        <v>-14.137767404598133</v>
      </c>
    </row>
    <row r="458" spans="1:10" ht="15.75" x14ac:dyDescent="0.5">
      <c r="A458" s="13" t="s">
        <v>273</v>
      </c>
      <c r="B458" s="13" t="s">
        <v>399</v>
      </c>
      <c r="C458" s="13" t="s">
        <v>400</v>
      </c>
      <c r="D458" s="14">
        <v>7.2499064625597898</v>
      </c>
      <c r="E458" s="14">
        <v>4.2389343065693544E-2</v>
      </c>
      <c r="F458" s="14">
        <v>0.51246000000000114</v>
      </c>
      <c r="G458" s="14">
        <v>1.8381240000000036</v>
      </c>
      <c r="H458" s="14">
        <v>3.2384348538911492</v>
      </c>
      <c r="I458" s="14">
        <v>2.2850689928902885</v>
      </c>
      <c r="J458" s="14">
        <v>2.3610777810219021</v>
      </c>
    </row>
    <row r="459" spans="1:10" ht="15.75" x14ac:dyDescent="0.5">
      <c r="A459" s="13" t="s">
        <v>273</v>
      </c>
      <c r="B459" s="13" t="s">
        <v>401</v>
      </c>
      <c r="C459" s="13" t="s">
        <v>400</v>
      </c>
      <c r="D459" s="14" t="s">
        <v>250</v>
      </c>
      <c r="E459" s="14" t="s">
        <v>250</v>
      </c>
      <c r="F459" s="14">
        <v>74.780595425384433</v>
      </c>
      <c r="G459" s="14">
        <v>74.780595425384391</v>
      </c>
      <c r="H459" s="14">
        <v>16.23904352028325</v>
      </c>
      <c r="I459" s="14">
        <v>16.128392674346365</v>
      </c>
      <c r="J459" s="14" t="s">
        <v>250</v>
      </c>
    </row>
    <row r="460" spans="1:10" ht="15.75" x14ac:dyDescent="0.5">
      <c r="A460" s="13" t="s">
        <v>273</v>
      </c>
      <c r="B460" s="13" t="s">
        <v>402</v>
      </c>
      <c r="C460" s="13" t="s">
        <v>400</v>
      </c>
      <c r="D460" s="14">
        <v>1072.9916742877458</v>
      </c>
      <c r="E460" s="14">
        <v>399.87450456068791</v>
      </c>
      <c r="F460" s="14">
        <v>211.47971257323329</v>
      </c>
      <c r="G460" s="14">
        <v>341.15040540835639</v>
      </c>
      <c r="H460" s="14">
        <v>363.86169676860493</v>
      </c>
      <c r="I460" s="14">
        <v>370.30325334354501</v>
      </c>
      <c r="J460" s="14">
        <v>343.47196931666485</v>
      </c>
    </row>
    <row r="461" spans="1:10" ht="15.75" x14ac:dyDescent="0.5">
      <c r="A461" s="13" t="s">
        <v>273</v>
      </c>
      <c r="B461" s="13" t="s">
        <v>403</v>
      </c>
      <c r="C461" s="13" t="s">
        <v>400</v>
      </c>
      <c r="D461" s="14" t="s">
        <v>250</v>
      </c>
      <c r="E461" s="14" t="s">
        <v>250</v>
      </c>
      <c r="F461" s="14">
        <v>15.41077771200003</v>
      </c>
      <c r="G461" s="14">
        <v>15.410777712000037</v>
      </c>
      <c r="H461" s="14">
        <v>3.0903966000000072</v>
      </c>
      <c r="I461" s="14">
        <v>3.0903966000000072</v>
      </c>
      <c r="J461" s="14" t="s">
        <v>250</v>
      </c>
    </row>
    <row r="462" spans="1:10" ht="15.75" x14ac:dyDescent="0.5">
      <c r="A462" s="13" t="s">
        <v>273</v>
      </c>
      <c r="B462" s="13" t="s">
        <v>404</v>
      </c>
      <c r="C462" s="13" t="s">
        <v>400</v>
      </c>
      <c r="D462" s="14" t="s">
        <v>250</v>
      </c>
      <c r="E462" s="14" t="s">
        <v>250</v>
      </c>
      <c r="F462" s="14" t="s">
        <v>250</v>
      </c>
      <c r="G462" s="14" t="s">
        <v>250</v>
      </c>
      <c r="H462" s="14" t="s">
        <v>250</v>
      </c>
      <c r="I462" s="14">
        <v>0.33069896914528535</v>
      </c>
      <c r="J462" s="14">
        <v>0.33069896914528529</v>
      </c>
    </row>
    <row r="463" spans="1:10" ht="15.75" x14ac:dyDescent="0.5">
      <c r="A463" s="13" t="s">
        <v>273</v>
      </c>
      <c r="B463" s="13" t="s">
        <v>421</v>
      </c>
      <c r="C463" s="13" t="s">
        <v>400</v>
      </c>
      <c r="D463" s="14" t="s">
        <v>250</v>
      </c>
      <c r="E463" s="14" t="s">
        <v>250</v>
      </c>
      <c r="F463" s="14" t="s">
        <v>250</v>
      </c>
      <c r="G463" s="14">
        <v>23.027629493490426</v>
      </c>
      <c r="H463" s="14">
        <v>62.069360743230718</v>
      </c>
      <c r="I463" s="14">
        <v>62.069360743230725</v>
      </c>
      <c r="J463" s="14">
        <v>9.8004253805101076</v>
      </c>
    </row>
    <row r="464" spans="1:10" ht="15.75" x14ac:dyDescent="0.5">
      <c r="A464" s="13" t="s">
        <v>273</v>
      </c>
      <c r="B464" s="13" t="s">
        <v>405</v>
      </c>
      <c r="C464" s="13" t="s">
        <v>400</v>
      </c>
      <c r="D464" s="14">
        <v>1259.3891290889944</v>
      </c>
      <c r="E464" s="14">
        <v>1343.4040390079736</v>
      </c>
      <c r="F464" s="14">
        <v>1505.9391034815139</v>
      </c>
      <c r="G464" s="14">
        <v>1933.9134924803423</v>
      </c>
      <c r="H464" s="14">
        <v>2760.0263007212097</v>
      </c>
      <c r="I464" s="14">
        <v>3103.7835101305141</v>
      </c>
      <c r="J464" s="14">
        <v>3118.5260231230045</v>
      </c>
    </row>
    <row r="465" spans="1:10" ht="15.75" x14ac:dyDescent="0.5">
      <c r="A465" s="13" t="s">
        <v>273</v>
      </c>
      <c r="B465" s="13" t="s">
        <v>406</v>
      </c>
      <c r="C465" s="13" t="s">
        <v>400</v>
      </c>
      <c r="D465" s="14">
        <v>23.479196814299328</v>
      </c>
      <c r="E465" s="14">
        <v>20.559538596081268</v>
      </c>
      <c r="F465" s="14">
        <v>42.240083927951829</v>
      </c>
      <c r="G465" s="14">
        <v>42.922352300797797</v>
      </c>
      <c r="H465" s="14">
        <v>43.030345535631461</v>
      </c>
      <c r="I465" s="14">
        <v>43.028064526321998</v>
      </c>
      <c r="J465" s="14">
        <v>42.623589831773202</v>
      </c>
    </row>
    <row r="466" spans="1:10" ht="15.75" x14ac:dyDescent="0.5">
      <c r="A466" s="13" t="s">
        <v>273</v>
      </c>
      <c r="B466" s="13" t="s">
        <v>407</v>
      </c>
      <c r="C466" s="13" t="s">
        <v>400</v>
      </c>
      <c r="D466" s="14" t="s">
        <v>250</v>
      </c>
      <c r="E466" s="14">
        <v>116.99109240692793</v>
      </c>
      <c r="F466" s="14">
        <v>75.426944983285537</v>
      </c>
      <c r="G466" s="14">
        <v>228.04099819337296</v>
      </c>
      <c r="H466" s="14">
        <v>221.35720259506883</v>
      </c>
      <c r="I466" s="14">
        <v>310.26077832794704</v>
      </c>
      <c r="J466" s="14">
        <v>203.24264413894784</v>
      </c>
    </row>
    <row r="467" spans="1:10" ht="15.75" x14ac:dyDescent="0.5">
      <c r="A467" s="13" t="s">
        <v>273</v>
      </c>
      <c r="B467" s="13" t="s">
        <v>408</v>
      </c>
      <c r="C467" s="13" t="s">
        <v>400</v>
      </c>
      <c r="D467" s="14">
        <v>46.892290321001219</v>
      </c>
      <c r="E467" s="14">
        <v>35.133586929704137</v>
      </c>
      <c r="F467" s="14">
        <v>31.882061322658924</v>
      </c>
      <c r="G467" s="14">
        <v>45.823166841934786</v>
      </c>
      <c r="H467" s="14">
        <v>45.74630390915479</v>
      </c>
      <c r="I467" s="14">
        <v>46.427865240450124</v>
      </c>
      <c r="J467" s="14">
        <v>46.022180061674831</v>
      </c>
    </row>
    <row r="468" spans="1:10" ht="15.75" x14ac:dyDescent="0.5">
      <c r="A468" s="13" t="s">
        <v>273</v>
      </c>
      <c r="B468" s="13" t="s">
        <v>409</v>
      </c>
      <c r="C468" s="13" t="s">
        <v>400</v>
      </c>
      <c r="D468" s="14">
        <v>18.36570427000003</v>
      </c>
      <c r="E468" s="14">
        <v>18.36570427000003</v>
      </c>
      <c r="F468" s="14">
        <v>18.365704270000034</v>
      </c>
      <c r="G468" s="14">
        <v>18.36570427000003</v>
      </c>
      <c r="H468" s="14">
        <v>18.36570427000003</v>
      </c>
      <c r="I468" s="14">
        <v>18.365704270000037</v>
      </c>
      <c r="J468" s="14">
        <v>18.36570427000003</v>
      </c>
    </row>
    <row r="469" spans="1:10" ht="15.75" x14ac:dyDescent="0.5">
      <c r="A469" s="13" t="s">
        <v>273</v>
      </c>
      <c r="B469" s="13" t="s">
        <v>410</v>
      </c>
      <c r="C469" s="13" t="s">
        <v>400</v>
      </c>
      <c r="D469" s="14">
        <v>245.79356253202215</v>
      </c>
      <c r="E469" s="14">
        <v>244.93826225798071</v>
      </c>
      <c r="F469" s="14">
        <v>246.12445039394575</v>
      </c>
      <c r="G469" s="14">
        <v>246.14773497791649</v>
      </c>
      <c r="H469" s="14">
        <v>246.16997594139093</v>
      </c>
      <c r="I469" s="14">
        <v>246.16997594139104</v>
      </c>
      <c r="J469" s="14">
        <v>246.16997594139104</v>
      </c>
    </row>
    <row r="470" spans="1:10" ht="15.75" x14ac:dyDescent="0.5">
      <c r="A470" s="13" t="s">
        <v>273</v>
      </c>
      <c r="B470" s="13" t="s">
        <v>411</v>
      </c>
      <c r="C470" s="13" t="s">
        <v>400</v>
      </c>
      <c r="D470" s="14">
        <v>7.139400000000018</v>
      </c>
      <c r="E470" s="14">
        <v>6.2620311895833574</v>
      </c>
      <c r="F470" s="14">
        <v>1.9272000000000058</v>
      </c>
      <c r="G470" s="14">
        <v>1.9272000000000056</v>
      </c>
      <c r="H470" s="14">
        <v>1.9272000000000051</v>
      </c>
      <c r="I470" s="14">
        <v>1.9272000000000049</v>
      </c>
      <c r="J470" s="14">
        <v>1.9272000000000056</v>
      </c>
    </row>
    <row r="471" spans="1:10" ht="15.75" x14ac:dyDescent="0.5">
      <c r="A471" s="13" t="s">
        <v>273</v>
      </c>
      <c r="B471" s="13" t="s">
        <v>412</v>
      </c>
      <c r="C471" s="13" t="s">
        <v>400</v>
      </c>
      <c r="D471" s="14">
        <v>760.72545968400163</v>
      </c>
      <c r="E471" s="14">
        <v>747.50986458277168</v>
      </c>
      <c r="F471" s="14">
        <v>645.01216698503436</v>
      </c>
      <c r="G471" s="14">
        <v>713.86130429570994</v>
      </c>
      <c r="H471" s="14">
        <v>721.91264731194599</v>
      </c>
      <c r="I471" s="14">
        <v>721.91264731194576</v>
      </c>
      <c r="J471" s="14">
        <v>721.9126473119461</v>
      </c>
    </row>
    <row r="472" spans="1:10" ht="15.75" x14ac:dyDescent="0.5">
      <c r="A472" s="13" t="s">
        <v>273</v>
      </c>
      <c r="B472" s="13" t="s">
        <v>413</v>
      </c>
      <c r="C472" s="13" t="s">
        <v>400</v>
      </c>
      <c r="D472" s="14">
        <v>23.702927619886133</v>
      </c>
      <c r="E472" s="14">
        <v>20.516039634832996</v>
      </c>
      <c r="F472" s="14">
        <v>5.8237328639473906</v>
      </c>
      <c r="G472" s="14">
        <v>2.7670700167884288</v>
      </c>
      <c r="H472" s="14">
        <v>1.9142988432125585</v>
      </c>
      <c r="I472" s="14">
        <v>1.2807664603680677</v>
      </c>
      <c r="J472" s="14">
        <v>0.78650934306569453</v>
      </c>
    </row>
    <row r="473" spans="1:10" ht="15.75" x14ac:dyDescent="0.5">
      <c r="A473" s="13" t="s">
        <v>273</v>
      </c>
      <c r="B473" s="13" t="s">
        <v>414</v>
      </c>
      <c r="C473" s="13" t="s">
        <v>400</v>
      </c>
      <c r="D473" s="14">
        <v>0.6803907705109502</v>
      </c>
      <c r="E473" s="14">
        <v>25.08331823039893</v>
      </c>
      <c r="F473" s="14">
        <v>94.575618844432867</v>
      </c>
      <c r="G473" s="14">
        <v>188.45075830860551</v>
      </c>
      <c r="H473" s="14">
        <v>240.5211069619431</v>
      </c>
      <c r="I473" s="14">
        <v>241.13430089489341</v>
      </c>
      <c r="J473" s="14">
        <v>241.572296561287</v>
      </c>
    </row>
    <row r="474" spans="1:10" ht="15.75" x14ac:dyDescent="0.5">
      <c r="A474" s="13" t="s">
        <v>273</v>
      </c>
      <c r="B474" s="13" t="s">
        <v>415</v>
      </c>
      <c r="C474" s="13" t="s">
        <v>400</v>
      </c>
      <c r="D474" s="14">
        <v>440.53124483255561</v>
      </c>
      <c r="E474" s="14">
        <v>866.78933865284694</v>
      </c>
      <c r="F474" s="14">
        <v>1337.1330527630046</v>
      </c>
      <c r="G474" s="14">
        <v>1422.426596270763</v>
      </c>
      <c r="H474" s="14">
        <v>1550.1239447072194</v>
      </c>
      <c r="I474" s="14">
        <v>1676.9494268327453</v>
      </c>
      <c r="J474" s="14">
        <v>1827.7411869807831</v>
      </c>
    </row>
    <row r="475" spans="1:10" ht="15.75" x14ac:dyDescent="0.5">
      <c r="A475" s="13" t="s">
        <v>273</v>
      </c>
      <c r="B475" s="13" t="s">
        <v>416</v>
      </c>
      <c r="C475" s="13" t="s">
        <v>400</v>
      </c>
      <c r="D475" s="14" t="s">
        <v>250</v>
      </c>
      <c r="E475" s="14">
        <v>54.174742594980991</v>
      </c>
      <c r="F475" s="14">
        <v>66.675949052097479</v>
      </c>
      <c r="G475" s="14">
        <v>76.801435170202154</v>
      </c>
      <c r="H475" s="14">
        <v>77.990654991853731</v>
      </c>
      <c r="I475" s="14">
        <v>82.683057309487637</v>
      </c>
      <c r="J475" s="14">
        <v>94.727837483420984</v>
      </c>
    </row>
    <row r="476" spans="1:10" ht="15.75" x14ac:dyDescent="0.5">
      <c r="A476" s="13" t="s">
        <v>273</v>
      </c>
      <c r="B476" s="13" t="s">
        <v>417</v>
      </c>
      <c r="C476" s="13" t="s">
        <v>400</v>
      </c>
      <c r="D476" s="14">
        <v>187.48709633408689</v>
      </c>
      <c r="E476" s="14">
        <v>301.28762495502025</v>
      </c>
      <c r="F476" s="14">
        <v>343.48190969769729</v>
      </c>
      <c r="G476" s="14">
        <v>402.87781118386874</v>
      </c>
      <c r="H476" s="14">
        <v>544.14339912320736</v>
      </c>
      <c r="I476" s="14">
        <v>870.71802568091437</v>
      </c>
      <c r="J476" s="14">
        <v>1515.3714243551099</v>
      </c>
    </row>
    <row r="477" spans="1:10" ht="15.75" x14ac:dyDescent="0.5">
      <c r="A477" s="13" t="s">
        <v>273</v>
      </c>
      <c r="B477" s="13" t="s">
        <v>418</v>
      </c>
      <c r="C477" s="13" t="s">
        <v>400</v>
      </c>
      <c r="D477" s="14">
        <v>3.1841751731019539</v>
      </c>
      <c r="E477" s="14">
        <v>3.1841751731019534</v>
      </c>
      <c r="F477" s="14">
        <v>3.1841751731019539</v>
      </c>
      <c r="G477" s="14">
        <v>3.1841751731019539</v>
      </c>
      <c r="H477" s="14">
        <v>3.1841751731019534</v>
      </c>
      <c r="I477" s="14">
        <v>3.1841751731019525</v>
      </c>
      <c r="J477" s="14">
        <v>3.184175173101953</v>
      </c>
    </row>
    <row r="478" spans="1:10" ht="15.75" x14ac:dyDescent="0.5">
      <c r="A478" s="13" t="s">
        <v>273</v>
      </c>
      <c r="B478" s="13" t="s">
        <v>419</v>
      </c>
      <c r="C478" s="13" t="s">
        <v>400</v>
      </c>
      <c r="D478" s="14">
        <v>0.54465920264079504</v>
      </c>
      <c r="E478" s="14">
        <v>8.1446675243393951</v>
      </c>
      <c r="F478" s="14">
        <v>20.497704788792181</v>
      </c>
      <c r="G478" s="14">
        <v>18.773441771322577</v>
      </c>
      <c r="H478" s="14">
        <v>22.989027515886246</v>
      </c>
      <c r="I478" s="14">
        <v>29.756108246270347</v>
      </c>
      <c r="J478" s="14">
        <v>62.070072195644784</v>
      </c>
    </row>
    <row r="479" spans="1:10" ht="15.75" x14ac:dyDescent="0.5">
      <c r="A479" s="13" t="s">
        <v>273</v>
      </c>
      <c r="B479" s="13" t="s">
        <v>420</v>
      </c>
      <c r="C479" s="13" t="s">
        <v>400</v>
      </c>
      <c r="D479" s="14">
        <v>-13.987252957808412</v>
      </c>
      <c r="E479" s="14">
        <v>-13.693633585637478</v>
      </c>
      <c r="F479" s="14">
        <v>-13.188500497117595</v>
      </c>
      <c r="G479" s="14">
        <v>-13.310405228557885</v>
      </c>
      <c r="H479" s="14">
        <v>-13.032251791161343</v>
      </c>
      <c r="I479" s="14">
        <v>-13.703750287696124</v>
      </c>
      <c r="J479" s="14">
        <v>-15.334832180969721</v>
      </c>
    </row>
    <row r="480" spans="1:10" ht="15.75" x14ac:dyDescent="0.5">
      <c r="A480" s="13" t="s">
        <v>274</v>
      </c>
      <c r="B480" s="13" t="s">
        <v>399</v>
      </c>
      <c r="C480" s="13" t="s">
        <v>400</v>
      </c>
      <c r="D480" s="14">
        <v>7.2499064625597907</v>
      </c>
      <c r="E480" s="14">
        <v>4.2389343065693544E-2</v>
      </c>
      <c r="F480" s="14">
        <v>0.51246000000000114</v>
      </c>
      <c r="G480" s="14">
        <v>1.8381240000000036</v>
      </c>
      <c r="H480" s="14">
        <v>3.2459237481407306</v>
      </c>
      <c r="I480" s="14">
        <v>2.022653037206307</v>
      </c>
      <c r="J480" s="14">
        <v>1.5076150373392911</v>
      </c>
    </row>
    <row r="481" spans="1:10" ht="15.75" x14ac:dyDescent="0.5">
      <c r="A481" s="13" t="s">
        <v>274</v>
      </c>
      <c r="B481" s="13" t="s">
        <v>401</v>
      </c>
      <c r="C481" s="13" t="s">
        <v>400</v>
      </c>
      <c r="D481" s="14" t="s">
        <v>250</v>
      </c>
      <c r="E481" s="14" t="s">
        <v>250</v>
      </c>
      <c r="F481" s="14">
        <v>74.866309891252669</v>
      </c>
      <c r="G481" s="14">
        <v>74.866309891252669</v>
      </c>
      <c r="H481" s="14">
        <v>16.280327478888292</v>
      </c>
      <c r="I481" s="14">
        <v>16.169676632951408</v>
      </c>
      <c r="J481" s="14" t="s">
        <v>250</v>
      </c>
    </row>
    <row r="482" spans="1:10" ht="15.75" x14ac:dyDescent="0.5">
      <c r="A482" s="13" t="s">
        <v>274</v>
      </c>
      <c r="B482" s="13" t="s">
        <v>402</v>
      </c>
      <c r="C482" s="13" t="s">
        <v>400</v>
      </c>
      <c r="D482" s="14">
        <v>1072.9916742877463</v>
      </c>
      <c r="E482" s="14">
        <v>399.87629184793769</v>
      </c>
      <c r="F482" s="14">
        <v>211.6465347014211</v>
      </c>
      <c r="G482" s="14">
        <v>341.19699995666394</v>
      </c>
      <c r="H482" s="14">
        <v>362.966945220632</v>
      </c>
      <c r="I482" s="14">
        <v>370.29028855407995</v>
      </c>
      <c r="J482" s="14">
        <v>348.32281837127465</v>
      </c>
    </row>
    <row r="483" spans="1:10" ht="15.75" x14ac:dyDescent="0.5">
      <c r="A483" s="13" t="s">
        <v>274</v>
      </c>
      <c r="B483" s="13" t="s">
        <v>403</v>
      </c>
      <c r="C483" s="13" t="s">
        <v>400</v>
      </c>
      <c r="D483" s="14" t="s">
        <v>250</v>
      </c>
      <c r="E483" s="14" t="s">
        <v>250</v>
      </c>
      <c r="F483" s="14">
        <v>15.410777712000035</v>
      </c>
      <c r="G483" s="14">
        <v>15.410777712000035</v>
      </c>
      <c r="H483" s="14">
        <v>3.0903966000000076</v>
      </c>
      <c r="I483" s="14">
        <v>3.0903966000000067</v>
      </c>
      <c r="J483" s="14" t="s">
        <v>250</v>
      </c>
    </row>
    <row r="484" spans="1:10" ht="15.75" x14ac:dyDescent="0.5">
      <c r="A484" s="13" t="s">
        <v>274</v>
      </c>
      <c r="B484" s="13" t="s">
        <v>404</v>
      </c>
      <c r="C484" s="13" t="s">
        <v>400</v>
      </c>
      <c r="D484" s="14" t="s">
        <v>250</v>
      </c>
      <c r="E484" s="14" t="s">
        <v>250</v>
      </c>
      <c r="F484" s="14" t="s">
        <v>250</v>
      </c>
      <c r="G484" s="14" t="s">
        <v>250</v>
      </c>
      <c r="H484" s="14" t="s">
        <v>250</v>
      </c>
      <c r="I484" s="14">
        <v>0.33069896914528529</v>
      </c>
      <c r="J484" s="14">
        <v>0.33069896914528529</v>
      </c>
    </row>
    <row r="485" spans="1:10" ht="15.75" x14ac:dyDescent="0.5">
      <c r="A485" s="13" t="s">
        <v>274</v>
      </c>
      <c r="B485" s="13" t="s">
        <v>421</v>
      </c>
      <c r="C485" s="13" t="s">
        <v>400</v>
      </c>
      <c r="D485" s="14" t="s">
        <v>250</v>
      </c>
      <c r="E485" s="14" t="s">
        <v>250</v>
      </c>
      <c r="F485" s="14" t="s">
        <v>250</v>
      </c>
      <c r="G485" s="14">
        <v>23.203117397177863</v>
      </c>
      <c r="H485" s="14">
        <v>62.542376083482239</v>
      </c>
      <c r="I485" s="14">
        <v>62.542376083482225</v>
      </c>
      <c r="J485" s="14">
        <v>9.8751120131813988</v>
      </c>
    </row>
    <row r="486" spans="1:10" ht="15.75" x14ac:dyDescent="0.5">
      <c r="A486" s="13" t="s">
        <v>274</v>
      </c>
      <c r="B486" s="13" t="s">
        <v>405</v>
      </c>
      <c r="C486" s="13" t="s">
        <v>400</v>
      </c>
      <c r="D486" s="14">
        <v>1259.3891290889944</v>
      </c>
      <c r="E486" s="14">
        <v>1343.6793737312096</v>
      </c>
      <c r="F486" s="14">
        <v>1505.9521791987247</v>
      </c>
      <c r="G486" s="14">
        <v>1933.7621620205873</v>
      </c>
      <c r="H486" s="14">
        <v>2759.7550555429311</v>
      </c>
      <c r="I486" s="14">
        <v>3090.215660127265</v>
      </c>
      <c r="J486" s="14">
        <v>3002.518267524315</v>
      </c>
    </row>
    <row r="487" spans="1:10" ht="15.75" x14ac:dyDescent="0.5">
      <c r="A487" s="13" t="s">
        <v>274</v>
      </c>
      <c r="B487" s="13" t="s">
        <v>406</v>
      </c>
      <c r="C487" s="13" t="s">
        <v>400</v>
      </c>
      <c r="D487" s="14">
        <v>23.479196814299328</v>
      </c>
      <c r="E487" s="14">
        <v>20.547505076266788</v>
      </c>
      <c r="F487" s="14">
        <v>42.238014738216158</v>
      </c>
      <c r="G487" s="14">
        <v>42.824941150537775</v>
      </c>
      <c r="H487" s="14">
        <v>42.7798845328198</v>
      </c>
      <c r="I487" s="14">
        <v>42.859670495593015</v>
      </c>
      <c r="J487" s="14">
        <v>42.673104577935106</v>
      </c>
    </row>
    <row r="488" spans="1:10" ht="15.75" x14ac:dyDescent="0.5">
      <c r="A488" s="13" t="s">
        <v>274</v>
      </c>
      <c r="B488" s="13" t="s">
        <v>407</v>
      </c>
      <c r="C488" s="13" t="s">
        <v>400</v>
      </c>
      <c r="D488" s="14" t="s">
        <v>250</v>
      </c>
      <c r="E488" s="14">
        <v>116.7033242914694</v>
      </c>
      <c r="F488" s="14">
        <v>74.562984203876198</v>
      </c>
      <c r="G488" s="14">
        <v>229.23102425796012</v>
      </c>
      <c r="H488" s="14">
        <v>225.0543336014677</v>
      </c>
      <c r="I488" s="14">
        <v>306.78796805589224</v>
      </c>
      <c r="J488" s="14">
        <v>165.32125525005884</v>
      </c>
    </row>
    <row r="489" spans="1:10" ht="15.75" x14ac:dyDescent="0.5">
      <c r="A489" s="13" t="s">
        <v>274</v>
      </c>
      <c r="B489" s="13" t="s">
        <v>408</v>
      </c>
      <c r="C489" s="13" t="s">
        <v>400</v>
      </c>
      <c r="D489" s="14">
        <v>46.892290321001219</v>
      </c>
      <c r="E489" s="14">
        <v>35.133601531742165</v>
      </c>
      <c r="F489" s="14">
        <v>31.843421618761475</v>
      </c>
      <c r="G489" s="14">
        <v>45.825880831288011</v>
      </c>
      <c r="H489" s="14">
        <v>45.834142915739221</v>
      </c>
      <c r="I489" s="14">
        <v>46.684835998762445</v>
      </c>
      <c r="J489" s="14">
        <v>45.500930472249735</v>
      </c>
    </row>
    <row r="490" spans="1:10" ht="15.75" x14ac:dyDescent="0.5">
      <c r="A490" s="13" t="s">
        <v>274</v>
      </c>
      <c r="B490" s="13" t="s">
        <v>409</v>
      </c>
      <c r="C490" s="13" t="s">
        <v>400</v>
      </c>
      <c r="D490" s="14">
        <v>18.365704270000037</v>
      </c>
      <c r="E490" s="14">
        <v>18.365704270000034</v>
      </c>
      <c r="F490" s="14">
        <v>18.36570427000003</v>
      </c>
      <c r="G490" s="14">
        <v>18.365704270000037</v>
      </c>
      <c r="H490" s="14">
        <v>18.365704270000034</v>
      </c>
      <c r="I490" s="14">
        <v>18.365704270000034</v>
      </c>
      <c r="J490" s="14">
        <v>18.36570427000003</v>
      </c>
    </row>
    <row r="491" spans="1:10" ht="15.75" x14ac:dyDescent="0.5">
      <c r="A491" s="13" t="s">
        <v>274</v>
      </c>
      <c r="B491" s="13" t="s">
        <v>410</v>
      </c>
      <c r="C491" s="13" t="s">
        <v>400</v>
      </c>
      <c r="D491" s="14">
        <v>245.79356253202218</v>
      </c>
      <c r="E491" s="14">
        <v>244.93906525687675</v>
      </c>
      <c r="F491" s="14">
        <v>246.11732097800518</v>
      </c>
      <c r="G491" s="14">
        <v>246.14812135281156</v>
      </c>
      <c r="H491" s="14">
        <v>246.16997594139113</v>
      </c>
      <c r="I491" s="14">
        <v>246.16997594139087</v>
      </c>
      <c r="J491" s="14">
        <v>246.16997594139107</v>
      </c>
    </row>
    <row r="492" spans="1:10" ht="15.75" x14ac:dyDescent="0.5">
      <c r="A492" s="13" t="s">
        <v>274</v>
      </c>
      <c r="B492" s="13" t="s">
        <v>411</v>
      </c>
      <c r="C492" s="13" t="s">
        <v>400</v>
      </c>
      <c r="D492" s="14">
        <v>7.1394000000000162</v>
      </c>
      <c r="E492" s="14">
        <v>6.2847331530037511</v>
      </c>
      <c r="F492" s="14">
        <v>1.9272000000000047</v>
      </c>
      <c r="G492" s="14">
        <v>1.9272000000000056</v>
      </c>
      <c r="H492" s="14">
        <v>1.9272000000000049</v>
      </c>
      <c r="I492" s="14">
        <v>1.9272000000000056</v>
      </c>
      <c r="J492" s="14">
        <v>1.9272000000000051</v>
      </c>
    </row>
    <row r="493" spans="1:10" ht="15.75" x14ac:dyDescent="0.5">
      <c r="A493" s="13" t="s">
        <v>274</v>
      </c>
      <c r="B493" s="13" t="s">
        <v>412</v>
      </c>
      <c r="C493" s="13" t="s">
        <v>400</v>
      </c>
      <c r="D493" s="14">
        <v>760.72545968400186</v>
      </c>
      <c r="E493" s="14">
        <v>747.50980878119515</v>
      </c>
      <c r="F493" s="14">
        <v>645.65394118165261</v>
      </c>
      <c r="G493" s="14">
        <v>713.69804679966262</v>
      </c>
      <c r="H493" s="14">
        <v>731.95047550721858</v>
      </c>
      <c r="I493" s="14">
        <v>792.39987192648437</v>
      </c>
      <c r="J493" s="14">
        <v>913.61684179043584</v>
      </c>
    </row>
    <row r="494" spans="1:10" ht="15.75" x14ac:dyDescent="0.5">
      <c r="A494" s="13" t="s">
        <v>274</v>
      </c>
      <c r="B494" s="13" t="s">
        <v>413</v>
      </c>
      <c r="C494" s="13" t="s">
        <v>400</v>
      </c>
      <c r="D494" s="14">
        <v>23.702927619886147</v>
      </c>
      <c r="E494" s="14">
        <v>20.513148749611108</v>
      </c>
      <c r="F494" s="14">
        <v>5.7549418854837491</v>
      </c>
      <c r="G494" s="14">
        <v>2.7613768125246523</v>
      </c>
      <c r="H494" s="14">
        <v>1.9491438041418907</v>
      </c>
      <c r="I494" s="14">
        <v>1.2823926210460019</v>
      </c>
      <c r="J494" s="14">
        <v>0.80157545570966893</v>
      </c>
    </row>
    <row r="495" spans="1:10" ht="15.75" x14ac:dyDescent="0.5">
      <c r="A495" s="13" t="s">
        <v>274</v>
      </c>
      <c r="B495" s="13" t="s">
        <v>414</v>
      </c>
      <c r="C495" s="13" t="s">
        <v>400</v>
      </c>
      <c r="D495" s="14">
        <v>0.68039077051095032</v>
      </c>
      <c r="E495" s="14">
        <v>25.08331823039893</v>
      </c>
      <c r="F495" s="14">
        <v>94.584211138186859</v>
      </c>
      <c r="G495" s="14">
        <v>188.47410854942271</v>
      </c>
      <c r="H495" s="14">
        <v>240.54454504065677</v>
      </c>
      <c r="I495" s="14">
        <v>241.15780729197101</v>
      </c>
      <c r="J495" s="14">
        <v>241.59585175719607</v>
      </c>
    </row>
    <row r="496" spans="1:10" ht="15.75" x14ac:dyDescent="0.5">
      <c r="A496" s="13" t="s">
        <v>274</v>
      </c>
      <c r="B496" s="13" t="s">
        <v>415</v>
      </c>
      <c r="C496" s="13" t="s">
        <v>400</v>
      </c>
      <c r="D496" s="14">
        <v>440.5312448325555</v>
      </c>
      <c r="E496" s="14">
        <v>866.78933926301033</v>
      </c>
      <c r="F496" s="14">
        <v>1337.330445519586</v>
      </c>
      <c r="G496" s="14">
        <v>1419.8888225182395</v>
      </c>
      <c r="H496" s="14">
        <v>1532.2143659475996</v>
      </c>
      <c r="I496" s="14">
        <v>1631.4115315385075</v>
      </c>
      <c r="J496" s="14">
        <v>1754.7043375904925</v>
      </c>
    </row>
    <row r="497" spans="1:10" ht="15.75" x14ac:dyDescent="0.5">
      <c r="A497" s="13" t="s">
        <v>274</v>
      </c>
      <c r="B497" s="13" t="s">
        <v>416</v>
      </c>
      <c r="C497" s="13" t="s">
        <v>400</v>
      </c>
      <c r="D497" s="14" t="s">
        <v>250</v>
      </c>
      <c r="E497" s="14">
        <v>54.174742594980984</v>
      </c>
      <c r="F497" s="14">
        <v>66.675949052097479</v>
      </c>
      <c r="G497" s="14">
        <v>76.80143517020214</v>
      </c>
      <c r="H497" s="14">
        <v>77.990654991853717</v>
      </c>
      <c r="I497" s="14">
        <v>82.683057309487637</v>
      </c>
      <c r="J497" s="14">
        <v>94.727837483420942</v>
      </c>
    </row>
    <row r="498" spans="1:10" ht="15.75" x14ac:dyDescent="0.5">
      <c r="A498" s="13" t="s">
        <v>274</v>
      </c>
      <c r="B498" s="13" t="s">
        <v>417</v>
      </c>
      <c r="C498" s="13" t="s">
        <v>400</v>
      </c>
      <c r="D498" s="14">
        <v>187.48709633408697</v>
      </c>
      <c r="E498" s="14">
        <v>301.28762495502025</v>
      </c>
      <c r="F498" s="14">
        <v>343.48190969769718</v>
      </c>
      <c r="G498" s="14">
        <v>403.90484787811937</v>
      </c>
      <c r="H498" s="14">
        <v>547.75030830385094</v>
      </c>
      <c r="I498" s="14">
        <v>852.90410510441791</v>
      </c>
      <c r="J498" s="14">
        <v>1513.0264100883221</v>
      </c>
    </row>
    <row r="499" spans="1:10" ht="15.75" x14ac:dyDescent="0.5">
      <c r="A499" s="13" t="s">
        <v>274</v>
      </c>
      <c r="B499" s="13" t="s">
        <v>418</v>
      </c>
      <c r="C499" s="13" t="s">
        <v>400</v>
      </c>
      <c r="D499" s="14">
        <v>3.1841751731019534</v>
      </c>
      <c r="E499" s="14">
        <v>3.1841751731019534</v>
      </c>
      <c r="F499" s="14">
        <v>3.184175173101953</v>
      </c>
      <c r="G499" s="14">
        <v>3.184175173101953</v>
      </c>
      <c r="H499" s="14">
        <v>3.184175173101953</v>
      </c>
      <c r="I499" s="14">
        <v>3.1841751731019534</v>
      </c>
      <c r="J499" s="14">
        <v>3.184175173101953</v>
      </c>
    </row>
    <row r="500" spans="1:10" ht="15.75" x14ac:dyDescent="0.5">
      <c r="A500" s="13" t="s">
        <v>274</v>
      </c>
      <c r="B500" s="13" t="s">
        <v>419</v>
      </c>
      <c r="C500" s="13" t="s">
        <v>400</v>
      </c>
      <c r="D500" s="14">
        <v>0.54465920264079504</v>
      </c>
      <c r="E500" s="14">
        <v>8.1454675717669076</v>
      </c>
      <c r="F500" s="14">
        <v>20.419774711767587</v>
      </c>
      <c r="G500" s="14">
        <v>18.689650756505049</v>
      </c>
      <c r="H500" s="14">
        <v>23.469690402260916</v>
      </c>
      <c r="I500" s="14">
        <v>29.182578539177698</v>
      </c>
      <c r="J500" s="14">
        <v>56.060602810790819</v>
      </c>
    </row>
    <row r="501" spans="1:10" ht="15.75" x14ac:dyDescent="0.5">
      <c r="A501" s="13" t="s">
        <v>274</v>
      </c>
      <c r="B501" s="13" t="s">
        <v>420</v>
      </c>
      <c r="C501" s="13" t="s">
        <v>400</v>
      </c>
      <c r="D501" s="14">
        <v>-13.987252957808312</v>
      </c>
      <c r="E501" s="14">
        <v>-13.691752555509584</v>
      </c>
      <c r="F501" s="14">
        <v>-13.217134268740214</v>
      </c>
      <c r="G501" s="14">
        <v>-13.394689274911407</v>
      </c>
      <c r="H501" s="14">
        <v>-12.992939228003333</v>
      </c>
      <c r="I501" s="14">
        <v>-13.522693029114659</v>
      </c>
      <c r="J501" s="14">
        <v>-14.91815289714112</v>
      </c>
    </row>
    <row r="502" spans="1:10" ht="15.75" x14ac:dyDescent="0.5">
      <c r="A502" s="13" t="s">
        <v>275</v>
      </c>
      <c r="B502" s="13" t="s">
        <v>399</v>
      </c>
      <c r="C502" s="13" t="s">
        <v>400</v>
      </c>
      <c r="D502" s="14">
        <v>7.2499064625597889</v>
      </c>
      <c r="E502" s="14">
        <v>0.29730534306569406</v>
      </c>
      <c r="F502" s="14">
        <v>0.51246000000000103</v>
      </c>
      <c r="G502" s="14">
        <v>1.8381240000000036</v>
      </c>
      <c r="H502" s="14">
        <v>2.5241180732019584</v>
      </c>
      <c r="I502" s="14">
        <v>1.126040464661346</v>
      </c>
      <c r="J502" s="14">
        <v>0.1815109489051098</v>
      </c>
    </row>
    <row r="503" spans="1:10" ht="15.75" x14ac:dyDescent="0.5">
      <c r="A503" s="13" t="s">
        <v>275</v>
      </c>
      <c r="B503" s="13" t="s">
        <v>401</v>
      </c>
      <c r="C503" s="13" t="s">
        <v>400</v>
      </c>
      <c r="D503" s="14" t="s">
        <v>250</v>
      </c>
      <c r="E503" s="14" t="s">
        <v>250</v>
      </c>
      <c r="F503" s="14">
        <v>78.927573222210725</v>
      </c>
      <c r="G503" s="14">
        <v>78.927573222210711</v>
      </c>
      <c r="H503" s="14">
        <v>17.69151548546855</v>
      </c>
      <c r="I503" s="14">
        <v>12.74261167835944</v>
      </c>
      <c r="J503" s="14" t="s">
        <v>250</v>
      </c>
    </row>
    <row r="504" spans="1:10" ht="15.75" x14ac:dyDescent="0.5">
      <c r="A504" s="13" t="s">
        <v>275</v>
      </c>
      <c r="B504" s="13" t="s">
        <v>402</v>
      </c>
      <c r="C504" s="13" t="s">
        <v>400</v>
      </c>
      <c r="D504" s="14">
        <v>1072.9916742877463</v>
      </c>
      <c r="E504" s="14">
        <v>402.14386088037395</v>
      </c>
      <c r="F504" s="14">
        <v>210.18511651001057</v>
      </c>
      <c r="G504" s="14">
        <v>335.4490793506161</v>
      </c>
      <c r="H504" s="14">
        <v>335.17362753672853</v>
      </c>
      <c r="I504" s="14">
        <v>304.19414380142439</v>
      </c>
      <c r="J504" s="14">
        <v>218.22758690521695</v>
      </c>
    </row>
    <row r="505" spans="1:10" ht="15.75" x14ac:dyDescent="0.5">
      <c r="A505" s="13" t="s">
        <v>275</v>
      </c>
      <c r="B505" s="13" t="s">
        <v>403</v>
      </c>
      <c r="C505" s="13" t="s">
        <v>400</v>
      </c>
      <c r="D505" s="14" t="s">
        <v>250</v>
      </c>
      <c r="E505" s="14" t="s">
        <v>250</v>
      </c>
      <c r="F505" s="14">
        <v>20.652761712000043</v>
      </c>
      <c r="G505" s="14">
        <v>20.652761712000043</v>
      </c>
      <c r="H505" s="14">
        <v>4.1415966000000086</v>
      </c>
      <c r="I505" s="14">
        <v>4.1415966000000086</v>
      </c>
      <c r="J505" s="14" t="s">
        <v>250</v>
      </c>
    </row>
    <row r="506" spans="1:10" ht="15.75" x14ac:dyDescent="0.5">
      <c r="A506" s="13" t="s">
        <v>275</v>
      </c>
      <c r="B506" s="13" t="s">
        <v>404</v>
      </c>
      <c r="C506" s="13" t="s">
        <v>400</v>
      </c>
      <c r="D506" s="14" t="s">
        <v>250</v>
      </c>
      <c r="E506" s="14" t="s">
        <v>250</v>
      </c>
      <c r="F506" s="14" t="s">
        <v>250</v>
      </c>
      <c r="G506" s="14" t="s">
        <v>250</v>
      </c>
      <c r="H506" s="14" t="s">
        <v>250</v>
      </c>
      <c r="I506" s="14">
        <v>0.33069896914528535</v>
      </c>
      <c r="J506" s="14">
        <v>0.33069896914528535</v>
      </c>
    </row>
    <row r="507" spans="1:10" ht="15.75" x14ac:dyDescent="0.5">
      <c r="A507" s="13" t="s">
        <v>275</v>
      </c>
      <c r="B507" s="13" t="s">
        <v>421</v>
      </c>
      <c r="C507" s="13" t="s">
        <v>400</v>
      </c>
      <c r="D507" s="14" t="s">
        <v>250</v>
      </c>
      <c r="E507" s="14" t="s">
        <v>250</v>
      </c>
      <c r="F507" s="14" t="s">
        <v>250</v>
      </c>
      <c r="G507" s="14">
        <v>25.428012029954033</v>
      </c>
      <c r="H507" s="14">
        <v>68.539423570132925</v>
      </c>
      <c r="I507" s="14">
        <v>68.539423570132911</v>
      </c>
      <c r="J507" s="14">
        <v>10.822014247915723</v>
      </c>
    </row>
    <row r="508" spans="1:10" ht="15.75" x14ac:dyDescent="0.5">
      <c r="A508" s="13" t="s">
        <v>275</v>
      </c>
      <c r="B508" s="13" t="s">
        <v>405</v>
      </c>
      <c r="C508" s="13" t="s">
        <v>400</v>
      </c>
      <c r="D508" s="14">
        <v>1259.3891290889942</v>
      </c>
      <c r="E508" s="14">
        <v>1333.474983105782</v>
      </c>
      <c r="F508" s="14">
        <v>1495.3509681889077</v>
      </c>
      <c r="G508" s="14">
        <v>1911.3650785716143</v>
      </c>
      <c r="H508" s="14">
        <v>2288.9979850025738</v>
      </c>
      <c r="I508" s="14">
        <v>1902.6707889048528</v>
      </c>
      <c r="J508" s="14">
        <v>1253.9839875921655</v>
      </c>
    </row>
    <row r="509" spans="1:10" ht="15.75" x14ac:dyDescent="0.5">
      <c r="A509" s="13" t="s">
        <v>275</v>
      </c>
      <c r="B509" s="13" t="s">
        <v>406</v>
      </c>
      <c r="C509" s="13" t="s">
        <v>400</v>
      </c>
      <c r="D509" s="14">
        <v>23.479196814299335</v>
      </c>
      <c r="E509" s="14">
        <v>21.314660358049942</v>
      </c>
      <c r="F509" s="14">
        <v>42.253196721325267</v>
      </c>
      <c r="G509" s="14">
        <v>42.998594482233422</v>
      </c>
      <c r="H509" s="14">
        <v>43.422426447292743</v>
      </c>
      <c r="I509" s="14">
        <v>42.862032740414264</v>
      </c>
      <c r="J509" s="14">
        <v>41.30940216601855</v>
      </c>
    </row>
    <row r="510" spans="1:10" ht="15.75" x14ac:dyDescent="0.5">
      <c r="A510" s="13" t="s">
        <v>275</v>
      </c>
      <c r="B510" s="13" t="s">
        <v>407</v>
      </c>
      <c r="C510" s="13" t="s">
        <v>400</v>
      </c>
      <c r="D510" s="14" t="s">
        <v>250</v>
      </c>
      <c r="E510" s="14">
        <v>118.70147398975298</v>
      </c>
      <c r="F510" s="14">
        <v>70.231748681447158</v>
      </c>
      <c r="G510" s="14">
        <v>237.67655913957057</v>
      </c>
      <c r="H510" s="14">
        <v>186.36988614848394</v>
      </c>
      <c r="I510" s="14">
        <v>139.61969378242068</v>
      </c>
      <c r="J510" s="14">
        <v>91.661701525200812</v>
      </c>
    </row>
    <row r="511" spans="1:10" ht="15.75" x14ac:dyDescent="0.5">
      <c r="A511" s="13" t="s">
        <v>275</v>
      </c>
      <c r="B511" s="13" t="s">
        <v>408</v>
      </c>
      <c r="C511" s="13" t="s">
        <v>400</v>
      </c>
      <c r="D511" s="14">
        <v>46.892290321001248</v>
      </c>
      <c r="E511" s="14">
        <v>35.032339769065729</v>
      </c>
      <c r="F511" s="14">
        <v>31.46765412005043</v>
      </c>
      <c r="G511" s="14">
        <v>45.930943141165038</v>
      </c>
      <c r="H511" s="14">
        <v>44.640531019205234</v>
      </c>
      <c r="I511" s="14">
        <v>43.825263307024123</v>
      </c>
      <c r="J511" s="14">
        <v>42.975249985442204</v>
      </c>
    </row>
    <row r="512" spans="1:10" ht="15.75" x14ac:dyDescent="0.5">
      <c r="A512" s="13" t="s">
        <v>275</v>
      </c>
      <c r="B512" s="13" t="s">
        <v>409</v>
      </c>
      <c r="C512" s="13" t="s">
        <v>400</v>
      </c>
      <c r="D512" s="14">
        <v>18.365704270000034</v>
      </c>
      <c r="E512" s="14">
        <v>18.365704270000034</v>
      </c>
      <c r="F512" s="14">
        <v>18.36570427000003</v>
      </c>
      <c r="G512" s="14">
        <v>18.365704270000037</v>
      </c>
      <c r="H512" s="14">
        <v>18.365704270000034</v>
      </c>
      <c r="I512" s="14">
        <v>18.365704270000034</v>
      </c>
      <c r="J512" s="14">
        <v>18.365704270000037</v>
      </c>
    </row>
    <row r="513" spans="1:10" ht="15.75" x14ac:dyDescent="0.5">
      <c r="A513" s="13" t="s">
        <v>275</v>
      </c>
      <c r="B513" s="13" t="s">
        <v>410</v>
      </c>
      <c r="C513" s="13" t="s">
        <v>400</v>
      </c>
      <c r="D513" s="14">
        <v>245.79356253202212</v>
      </c>
      <c r="E513" s="14">
        <v>244.95017029057138</v>
      </c>
      <c r="F513" s="14">
        <v>246.05450461331247</v>
      </c>
      <c r="G513" s="14">
        <v>246.16953280241299</v>
      </c>
      <c r="H513" s="14">
        <v>246.1699759413911</v>
      </c>
      <c r="I513" s="14">
        <v>246.16953280241322</v>
      </c>
      <c r="J513" s="14">
        <v>246.16953280241279</v>
      </c>
    </row>
    <row r="514" spans="1:10" ht="15.75" x14ac:dyDescent="0.5">
      <c r="A514" s="13" t="s">
        <v>275</v>
      </c>
      <c r="B514" s="13" t="s">
        <v>411</v>
      </c>
      <c r="C514" s="13" t="s">
        <v>400</v>
      </c>
      <c r="D514" s="14">
        <v>7.1394000000000171</v>
      </c>
      <c r="E514" s="14">
        <v>6.0916737406028671</v>
      </c>
      <c r="F514" s="14">
        <v>1.9272000000000054</v>
      </c>
      <c r="G514" s="14">
        <v>1.9272000000000054</v>
      </c>
      <c r="H514" s="14">
        <v>1.9272000000000054</v>
      </c>
      <c r="I514" s="14">
        <v>1.9272000000000056</v>
      </c>
      <c r="J514" s="14" t="s">
        <v>250</v>
      </c>
    </row>
    <row r="515" spans="1:10" ht="15.75" x14ac:dyDescent="0.5">
      <c r="A515" s="13" t="s">
        <v>275</v>
      </c>
      <c r="B515" s="13" t="s">
        <v>412</v>
      </c>
      <c r="C515" s="13" t="s">
        <v>400</v>
      </c>
      <c r="D515" s="14">
        <v>760.72545968400152</v>
      </c>
      <c r="E515" s="14">
        <v>754.71472755064531</v>
      </c>
      <c r="F515" s="14">
        <v>670.33299474139835</v>
      </c>
      <c r="G515" s="14">
        <v>790.04713791929862</v>
      </c>
      <c r="H515" s="14">
        <v>1461.7431357381861</v>
      </c>
      <c r="I515" s="14">
        <v>2682.2207490290234</v>
      </c>
      <c r="J515" s="14">
        <v>3370.4172290211604</v>
      </c>
    </row>
    <row r="516" spans="1:10" ht="15.75" x14ac:dyDescent="0.5">
      <c r="A516" s="13" t="s">
        <v>275</v>
      </c>
      <c r="B516" s="13" t="s">
        <v>413</v>
      </c>
      <c r="C516" s="13" t="s">
        <v>400</v>
      </c>
      <c r="D516" s="14">
        <v>23.702927619886133</v>
      </c>
      <c r="E516" s="14">
        <v>21.04371514708059</v>
      </c>
      <c r="F516" s="14">
        <v>5.6444198165223494</v>
      </c>
      <c r="G516" s="14">
        <v>3.5981934206141375</v>
      </c>
      <c r="H516" s="14">
        <v>2.0398496585437642</v>
      </c>
      <c r="I516" s="14">
        <v>1.364961209918881</v>
      </c>
      <c r="J516" s="14">
        <v>0.78449038748105193</v>
      </c>
    </row>
    <row r="517" spans="1:10" ht="15.75" x14ac:dyDescent="0.5">
      <c r="A517" s="13" t="s">
        <v>275</v>
      </c>
      <c r="B517" s="13" t="s">
        <v>414</v>
      </c>
      <c r="C517" s="13" t="s">
        <v>400</v>
      </c>
      <c r="D517" s="14">
        <v>0.6803907705109502</v>
      </c>
      <c r="E517" s="14">
        <v>25.071554741020652</v>
      </c>
      <c r="F517" s="14">
        <v>94.580039109874249</v>
      </c>
      <c r="G517" s="14">
        <v>188.54448023390583</v>
      </c>
      <c r="H517" s="14">
        <v>240.6061184200058</v>
      </c>
      <c r="I517" s="14">
        <v>241.21956014817013</v>
      </c>
      <c r="J517" s="14">
        <v>241.65773281114525</v>
      </c>
    </row>
    <row r="518" spans="1:10" ht="15.75" x14ac:dyDescent="0.5">
      <c r="A518" s="13" t="s">
        <v>275</v>
      </c>
      <c r="B518" s="13" t="s">
        <v>415</v>
      </c>
      <c r="C518" s="13" t="s">
        <v>400</v>
      </c>
      <c r="D518" s="14">
        <v>440.53124483255561</v>
      </c>
      <c r="E518" s="14">
        <v>864.19715641123923</v>
      </c>
      <c r="F518" s="14">
        <v>1318.1090961313039</v>
      </c>
      <c r="G518" s="14">
        <v>1370.19707668303</v>
      </c>
      <c r="H518" s="14">
        <v>1442.5734477545136</v>
      </c>
      <c r="I518" s="14">
        <v>1488.790813422364</v>
      </c>
      <c r="J518" s="14">
        <v>1502.8116703964233</v>
      </c>
    </row>
    <row r="519" spans="1:10" ht="15.75" x14ac:dyDescent="0.5">
      <c r="A519" s="13" t="s">
        <v>275</v>
      </c>
      <c r="B519" s="13" t="s">
        <v>416</v>
      </c>
      <c r="C519" s="13" t="s">
        <v>400</v>
      </c>
      <c r="D519" s="14" t="s">
        <v>250</v>
      </c>
      <c r="E519" s="14">
        <v>54.174742594981005</v>
      </c>
      <c r="F519" s="14">
        <v>66.675949052097451</v>
      </c>
      <c r="G519" s="14">
        <v>76.801435170202097</v>
      </c>
      <c r="H519" s="14">
        <v>77.990654991853717</v>
      </c>
      <c r="I519" s="14">
        <v>82.683057309487666</v>
      </c>
      <c r="J519" s="14">
        <v>94.727837483420998</v>
      </c>
    </row>
    <row r="520" spans="1:10" ht="15.75" x14ac:dyDescent="0.5">
      <c r="A520" s="13" t="s">
        <v>275</v>
      </c>
      <c r="B520" s="13" t="s">
        <v>417</v>
      </c>
      <c r="C520" s="13" t="s">
        <v>400</v>
      </c>
      <c r="D520" s="14">
        <v>187.48709633408691</v>
      </c>
      <c r="E520" s="14">
        <v>301.27702622378962</v>
      </c>
      <c r="F520" s="14">
        <v>343.46782005660145</v>
      </c>
      <c r="G520" s="14">
        <v>381.18560702708135</v>
      </c>
      <c r="H520" s="14">
        <v>436.86818270825745</v>
      </c>
      <c r="I520" s="14">
        <v>532.84325871561475</v>
      </c>
      <c r="J520" s="14">
        <v>1261.2318242616416</v>
      </c>
    </row>
    <row r="521" spans="1:10" ht="15.75" x14ac:dyDescent="0.5">
      <c r="A521" s="13" t="s">
        <v>275</v>
      </c>
      <c r="B521" s="13" t="s">
        <v>418</v>
      </c>
      <c r="C521" s="13" t="s">
        <v>400</v>
      </c>
      <c r="D521" s="14">
        <v>3.1841751731019534</v>
      </c>
      <c r="E521" s="14">
        <v>3.184175173101953</v>
      </c>
      <c r="F521" s="14">
        <v>3.1841751731019534</v>
      </c>
      <c r="G521" s="14">
        <v>3.1841751731019534</v>
      </c>
      <c r="H521" s="14">
        <v>3.1841751731019534</v>
      </c>
      <c r="I521" s="14">
        <v>3.184175173101953</v>
      </c>
      <c r="J521" s="14">
        <v>3.184175173101953</v>
      </c>
    </row>
    <row r="522" spans="1:10" ht="15.75" x14ac:dyDescent="0.5">
      <c r="A522" s="13" t="s">
        <v>275</v>
      </c>
      <c r="B522" s="13" t="s">
        <v>419</v>
      </c>
      <c r="C522" s="13" t="s">
        <v>400</v>
      </c>
      <c r="D522" s="14">
        <v>0.54465920264079493</v>
      </c>
      <c r="E522" s="14">
        <v>8.0062700111494021</v>
      </c>
      <c r="F522" s="14">
        <v>19.909224825509241</v>
      </c>
      <c r="G522" s="14">
        <v>18.32862192192335</v>
      </c>
      <c r="H522" s="14">
        <v>20.351622508108399</v>
      </c>
      <c r="I522" s="14">
        <v>20.250224812903223</v>
      </c>
      <c r="J522" s="14">
        <v>44.645920862838629</v>
      </c>
    </row>
    <row r="523" spans="1:10" ht="15.75" x14ac:dyDescent="0.5">
      <c r="A523" s="13" t="s">
        <v>275</v>
      </c>
      <c r="B523" s="13" t="s">
        <v>420</v>
      </c>
      <c r="C523" s="13" t="s">
        <v>400</v>
      </c>
      <c r="D523" s="14">
        <v>-13.987252957808423</v>
      </c>
      <c r="E523" s="14">
        <v>-13.823141984239044</v>
      </c>
      <c r="F523" s="14">
        <v>-13.472687157280863</v>
      </c>
      <c r="G523" s="14">
        <v>-13.551484531529592</v>
      </c>
      <c r="H523" s="14">
        <v>-12.18621658740965</v>
      </c>
      <c r="I523" s="14">
        <v>-12.911277583871009</v>
      </c>
      <c r="J523" s="14">
        <v>-14.043205307791268</v>
      </c>
    </row>
    <row r="524" spans="1:10" ht="15.75" x14ac:dyDescent="0.5">
      <c r="A524" s="13" t="s">
        <v>276</v>
      </c>
      <c r="B524" s="13" t="s">
        <v>399</v>
      </c>
      <c r="C524" s="13" t="s">
        <v>400</v>
      </c>
      <c r="D524" s="14">
        <v>7.2499064625597889</v>
      </c>
      <c r="E524" s="14">
        <v>4.2389343065693544E-2</v>
      </c>
      <c r="F524" s="14">
        <v>0.51246000000000103</v>
      </c>
      <c r="G524" s="14">
        <v>1.9884240000000033</v>
      </c>
      <c r="H524" s="14">
        <v>3.1922516791745421</v>
      </c>
      <c r="I524" s="14">
        <v>2.3597011006011726</v>
      </c>
      <c r="J524" s="14">
        <v>2.4282253990944294</v>
      </c>
    </row>
    <row r="525" spans="1:10" ht="15.75" x14ac:dyDescent="0.5">
      <c r="A525" s="13" t="s">
        <v>276</v>
      </c>
      <c r="B525" s="13" t="s">
        <v>401</v>
      </c>
      <c r="C525" s="13" t="s">
        <v>400</v>
      </c>
      <c r="D525" s="14" t="s">
        <v>250</v>
      </c>
      <c r="E525" s="14" t="s">
        <v>250</v>
      </c>
      <c r="F525" s="14">
        <v>69.784126451542335</v>
      </c>
      <c r="G525" s="14">
        <v>69.784126451542349</v>
      </c>
      <c r="H525" s="14">
        <v>10.204987792139312</v>
      </c>
      <c r="I525" s="14">
        <v>10.094336946202425</v>
      </c>
      <c r="J525" s="14" t="s">
        <v>250</v>
      </c>
    </row>
    <row r="526" spans="1:10" ht="15.75" x14ac:dyDescent="0.5">
      <c r="A526" s="13" t="s">
        <v>276</v>
      </c>
      <c r="B526" s="13" t="s">
        <v>402</v>
      </c>
      <c r="C526" s="13" t="s">
        <v>400</v>
      </c>
      <c r="D526" s="14">
        <v>1072.9916742877465</v>
      </c>
      <c r="E526" s="14">
        <v>401.95720332376357</v>
      </c>
      <c r="F526" s="14">
        <v>220.49281387751907</v>
      </c>
      <c r="G526" s="14">
        <v>329.04941516883144</v>
      </c>
      <c r="H526" s="14">
        <v>344.06166876539493</v>
      </c>
      <c r="I526" s="14">
        <v>397.98022595933315</v>
      </c>
      <c r="J526" s="14">
        <v>369.35927905428412</v>
      </c>
    </row>
    <row r="527" spans="1:10" ht="15.75" x14ac:dyDescent="0.5">
      <c r="A527" s="13" t="s">
        <v>276</v>
      </c>
      <c r="B527" s="13" t="s">
        <v>403</v>
      </c>
      <c r="C527" s="13" t="s">
        <v>400</v>
      </c>
      <c r="D527" s="14" t="s">
        <v>250</v>
      </c>
      <c r="E527" s="14" t="s">
        <v>250</v>
      </c>
      <c r="F527" s="14">
        <v>15.410777712000032</v>
      </c>
      <c r="G527" s="14">
        <v>15.410777712000034</v>
      </c>
      <c r="H527" s="14">
        <v>3.0903966000000072</v>
      </c>
      <c r="I527" s="14">
        <v>3.0903966000000072</v>
      </c>
      <c r="J527" s="14" t="s">
        <v>250</v>
      </c>
    </row>
    <row r="528" spans="1:10" ht="15.75" x14ac:dyDescent="0.5">
      <c r="A528" s="13" t="s">
        <v>276</v>
      </c>
      <c r="B528" s="13" t="s">
        <v>404</v>
      </c>
      <c r="C528" s="13" t="s">
        <v>400</v>
      </c>
      <c r="D528" s="14" t="s">
        <v>250</v>
      </c>
      <c r="E528" s="14" t="s">
        <v>250</v>
      </c>
      <c r="F528" s="14" t="s">
        <v>250</v>
      </c>
      <c r="G528" s="14" t="s">
        <v>250</v>
      </c>
      <c r="H528" s="14" t="s">
        <v>250</v>
      </c>
      <c r="I528" s="14">
        <v>0.3306989691452854</v>
      </c>
      <c r="J528" s="14">
        <v>0.33069896914528535</v>
      </c>
    </row>
    <row r="529" spans="1:10" ht="15.75" x14ac:dyDescent="0.5">
      <c r="A529" s="13" t="s">
        <v>276</v>
      </c>
      <c r="B529" s="13" t="s">
        <v>421</v>
      </c>
      <c r="C529" s="13" t="s">
        <v>400</v>
      </c>
      <c r="D529" s="14" t="s">
        <v>250</v>
      </c>
      <c r="E529" s="14" t="s">
        <v>250</v>
      </c>
      <c r="F529" s="14" t="s">
        <v>250</v>
      </c>
      <c r="G529" s="14">
        <v>646.06824926678451</v>
      </c>
      <c r="H529" s="14">
        <v>1743.952635473496</v>
      </c>
      <c r="I529" s="14">
        <v>1734.7553459060327</v>
      </c>
      <c r="J529" s="14">
        <v>295.97340303071883</v>
      </c>
    </row>
    <row r="530" spans="1:10" ht="15.75" x14ac:dyDescent="0.5">
      <c r="A530" s="13" t="s">
        <v>276</v>
      </c>
      <c r="B530" s="13" t="s">
        <v>405</v>
      </c>
      <c r="C530" s="13" t="s">
        <v>400</v>
      </c>
      <c r="D530" s="14">
        <v>1259.3891290889942</v>
      </c>
      <c r="E530" s="14">
        <v>1339.4585217287827</v>
      </c>
      <c r="F530" s="14">
        <v>1482.91025134298</v>
      </c>
      <c r="G530" s="14">
        <v>1338.4047201067365</v>
      </c>
      <c r="H530" s="14">
        <v>1138.0005188570699</v>
      </c>
      <c r="I530" s="14">
        <v>1348.9631766149241</v>
      </c>
      <c r="J530" s="14">
        <v>2798.0948616023816</v>
      </c>
    </row>
    <row r="531" spans="1:10" ht="15.75" x14ac:dyDescent="0.5">
      <c r="A531" s="13" t="s">
        <v>276</v>
      </c>
      <c r="B531" s="13" t="s">
        <v>406</v>
      </c>
      <c r="C531" s="13" t="s">
        <v>400</v>
      </c>
      <c r="D531" s="14">
        <v>23.479196814299332</v>
      </c>
      <c r="E531" s="14">
        <v>20.464736611863284</v>
      </c>
      <c r="F531" s="14">
        <v>42.491272507692273</v>
      </c>
      <c r="G531" s="14">
        <v>43.018523141422357</v>
      </c>
      <c r="H531" s="14">
        <v>43.446671583390469</v>
      </c>
      <c r="I531" s="14">
        <v>44.59340807924481</v>
      </c>
      <c r="J531" s="14">
        <v>43.172626815881721</v>
      </c>
    </row>
    <row r="532" spans="1:10" ht="15.75" x14ac:dyDescent="0.5">
      <c r="A532" s="13" t="s">
        <v>276</v>
      </c>
      <c r="B532" s="13" t="s">
        <v>407</v>
      </c>
      <c r="C532" s="13" t="s">
        <v>400</v>
      </c>
      <c r="D532" s="14" t="s">
        <v>250</v>
      </c>
      <c r="E532" s="14">
        <v>118.35947287865476</v>
      </c>
      <c r="F532" s="14">
        <v>91.855940917146029</v>
      </c>
      <c r="G532" s="14">
        <v>222.0422217552312</v>
      </c>
      <c r="H532" s="14">
        <v>198.3829987395174</v>
      </c>
      <c r="I532" s="14">
        <v>305.40737315364515</v>
      </c>
      <c r="J532" s="14">
        <v>194.1848641742823</v>
      </c>
    </row>
    <row r="533" spans="1:10" ht="15.75" x14ac:dyDescent="0.5">
      <c r="A533" s="13" t="s">
        <v>276</v>
      </c>
      <c r="B533" s="13" t="s">
        <v>408</v>
      </c>
      <c r="C533" s="13" t="s">
        <v>400</v>
      </c>
      <c r="D533" s="14">
        <v>46.892290321001219</v>
      </c>
      <c r="E533" s="14">
        <v>35.194059872385054</v>
      </c>
      <c r="F533" s="14">
        <v>32.236363111356582</v>
      </c>
      <c r="G533" s="14">
        <v>45.817124705616806</v>
      </c>
      <c r="H533" s="14">
        <v>45.807612943157288</v>
      </c>
      <c r="I533" s="14">
        <v>46.403055799652485</v>
      </c>
      <c r="J533" s="14">
        <v>46.201823322444767</v>
      </c>
    </row>
    <row r="534" spans="1:10" ht="15.75" x14ac:dyDescent="0.5">
      <c r="A534" s="13" t="s">
        <v>276</v>
      </c>
      <c r="B534" s="13" t="s">
        <v>409</v>
      </c>
      <c r="C534" s="13" t="s">
        <v>400</v>
      </c>
      <c r="D534" s="14">
        <v>18.365704270000037</v>
      </c>
      <c r="E534" s="14">
        <v>18.365704270000027</v>
      </c>
      <c r="F534" s="14">
        <v>18.36570427000003</v>
      </c>
      <c r="G534" s="14">
        <v>18.365704270000034</v>
      </c>
      <c r="H534" s="14">
        <v>18.36570427000003</v>
      </c>
      <c r="I534" s="14">
        <v>18.365704270000037</v>
      </c>
      <c r="J534" s="14">
        <v>18.36570427000003</v>
      </c>
    </row>
    <row r="535" spans="1:10" ht="15.75" x14ac:dyDescent="0.5">
      <c r="A535" s="13" t="s">
        <v>276</v>
      </c>
      <c r="B535" s="13" t="s">
        <v>410</v>
      </c>
      <c r="C535" s="13" t="s">
        <v>400</v>
      </c>
      <c r="D535" s="14">
        <v>245.79356253202221</v>
      </c>
      <c r="E535" s="14">
        <v>244.9313631247343</v>
      </c>
      <c r="F535" s="14">
        <v>246.12445039394618</v>
      </c>
      <c r="G535" s="14">
        <v>246.04107689922864</v>
      </c>
      <c r="H535" s="14">
        <v>246.16997594139099</v>
      </c>
      <c r="I535" s="14">
        <v>246.16997594139104</v>
      </c>
      <c r="J535" s="14">
        <v>246.16997594139096</v>
      </c>
    </row>
    <row r="536" spans="1:10" ht="15.75" x14ac:dyDescent="0.5">
      <c r="A536" s="13" t="s">
        <v>276</v>
      </c>
      <c r="B536" s="13" t="s">
        <v>411</v>
      </c>
      <c r="C536" s="13" t="s">
        <v>400</v>
      </c>
      <c r="D536" s="14">
        <v>7.139400000000018</v>
      </c>
      <c r="E536" s="14">
        <v>6.4423290029472513</v>
      </c>
      <c r="F536" s="14">
        <v>1.9272000000000049</v>
      </c>
      <c r="G536" s="14">
        <v>1.9272000000000051</v>
      </c>
      <c r="H536" s="14">
        <v>1.9272000000000054</v>
      </c>
      <c r="I536" s="14">
        <v>1.9272000000000049</v>
      </c>
      <c r="J536" s="14">
        <v>1.9272000000000056</v>
      </c>
    </row>
    <row r="537" spans="1:10" ht="15.75" x14ac:dyDescent="0.5">
      <c r="A537" s="13" t="s">
        <v>276</v>
      </c>
      <c r="B537" s="13" t="s">
        <v>412</v>
      </c>
      <c r="C537" s="13" t="s">
        <v>400</v>
      </c>
      <c r="D537" s="14">
        <v>760.72545968400186</v>
      </c>
      <c r="E537" s="14">
        <v>747.47927736783299</v>
      </c>
      <c r="F537" s="14">
        <v>645.27495192812535</v>
      </c>
      <c r="G537" s="14">
        <v>712.20908473589509</v>
      </c>
      <c r="H537" s="14">
        <v>722.66826752508678</v>
      </c>
      <c r="I537" s="14">
        <v>722.78161152838868</v>
      </c>
      <c r="J537" s="14">
        <v>722.78161152838834</v>
      </c>
    </row>
    <row r="538" spans="1:10" ht="15.75" x14ac:dyDescent="0.5">
      <c r="A538" s="13" t="s">
        <v>276</v>
      </c>
      <c r="B538" s="13" t="s">
        <v>413</v>
      </c>
      <c r="C538" s="13" t="s">
        <v>400</v>
      </c>
      <c r="D538" s="14">
        <v>23.702927619886143</v>
      </c>
      <c r="E538" s="14">
        <v>20.628316760023356</v>
      </c>
      <c r="F538" s="14">
        <v>6.3304045307678614</v>
      </c>
      <c r="G538" s="14">
        <v>2.7719274321940959</v>
      </c>
      <c r="H538" s="14">
        <v>1.8168386251658459</v>
      </c>
      <c r="I538" s="14">
        <v>0.99930104918798246</v>
      </c>
      <c r="J538" s="14">
        <v>0.96149080119539787</v>
      </c>
    </row>
    <row r="539" spans="1:10" ht="15.75" x14ac:dyDescent="0.5">
      <c r="A539" s="13" t="s">
        <v>276</v>
      </c>
      <c r="B539" s="13" t="s">
        <v>414</v>
      </c>
      <c r="C539" s="13" t="s">
        <v>400</v>
      </c>
      <c r="D539" s="14">
        <v>0.6803907705109502</v>
      </c>
      <c r="E539" s="14">
        <v>25.08331823039893</v>
      </c>
      <c r="F539" s="14">
        <v>94.577888129933058</v>
      </c>
      <c r="G539" s="14">
        <v>188.45692527221621</v>
      </c>
      <c r="H539" s="14">
        <v>240.52729712416291</v>
      </c>
      <c r="I539" s="14">
        <v>241.14050910047592</v>
      </c>
      <c r="J539" s="14">
        <v>241.57851765498577</v>
      </c>
    </row>
    <row r="540" spans="1:10" ht="15.75" x14ac:dyDescent="0.5">
      <c r="A540" s="13" t="s">
        <v>276</v>
      </c>
      <c r="B540" s="13" t="s">
        <v>415</v>
      </c>
      <c r="C540" s="13" t="s">
        <v>400</v>
      </c>
      <c r="D540" s="14">
        <v>440.53124483255561</v>
      </c>
      <c r="E540" s="14">
        <v>866.78933865284739</v>
      </c>
      <c r="F540" s="14">
        <v>1337.0551830762272</v>
      </c>
      <c r="G540" s="14">
        <v>1423.1605231332098</v>
      </c>
      <c r="H540" s="14">
        <v>1551.6915160532296</v>
      </c>
      <c r="I540" s="14">
        <v>1682.350013139212</v>
      </c>
      <c r="J540" s="14">
        <v>1840.2579164389886</v>
      </c>
    </row>
    <row r="541" spans="1:10" ht="15.75" x14ac:dyDescent="0.5">
      <c r="A541" s="13" t="s">
        <v>276</v>
      </c>
      <c r="B541" s="13" t="s">
        <v>416</v>
      </c>
      <c r="C541" s="13" t="s">
        <v>400</v>
      </c>
      <c r="D541" s="14" t="s">
        <v>250</v>
      </c>
      <c r="E541" s="14">
        <v>54.174742594980984</v>
      </c>
      <c r="F541" s="14">
        <v>66.675949052097494</v>
      </c>
      <c r="G541" s="14">
        <v>76.801435170202126</v>
      </c>
      <c r="H541" s="14">
        <v>77.990654991853731</v>
      </c>
      <c r="I541" s="14">
        <v>82.683057309487666</v>
      </c>
      <c r="J541" s="14">
        <v>94.727837483420956</v>
      </c>
    </row>
    <row r="542" spans="1:10" ht="15.75" x14ac:dyDescent="0.5">
      <c r="A542" s="13" t="s">
        <v>276</v>
      </c>
      <c r="B542" s="13" t="s">
        <v>417</v>
      </c>
      <c r="C542" s="13" t="s">
        <v>400</v>
      </c>
      <c r="D542" s="14">
        <v>187.48709633408694</v>
      </c>
      <c r="E542" s="14">
        <v>301.27702622378951</v>
      </c>
      <c r="F542" s="14">
        <v>343.4678200566014</v>
      </c>
      <c r="G542" s="14">
        <v>401.87301716217627</v>
      </c>
      <c r="H542" s="14">
        <v>536.55258364893541</v>
      </c>
      <c r="I542" s="14">
        <v>926.44028540018883</v>
      </c>
      <c r="J542" s="14">
        <v>1520.4127461926732</v>
      </c>
    </row>
    <row r="543" spans="1:10" ht="15.75" x14ac:dyDescent="0.5">
      <c r="A543" s="13" t="s">
        <v>276</v>
      </c>
      <c r="B543" s="13" t="s">
        <v>418</v>
      </c>
      <c r="C543" s="13" t="s">
        <v>400</v>
      </c>
      <c r="D543" s="14">
        <v>3.1841751731019534</v>
      </c>
      <c r="E543" s="14">
        <v>3.184175173101953</v>
      </c>
      <c r="F543" s="14">
        <v>3.1841751731019534</v>
      </c>
      <c r="G543" s="14">
        <v>3.1841751731019534</v>
      </c>
      <c r="H543" s="14">
        <v>3.1841751731019534</v>
      </c>
      <c r="I543" s="14">
        <v>3.1841751731019539</v>
      </c>
      <c r="J543" s="14">
        <v>3.184175173101953</v>
      </c>
    </row>
    <row r="544" spans="1:10" ht="15.75" x14ac:dyDescent="0.5">
      <c r="A544" s="13" t="s">
        <v>276</v>
      </c>
      <c r="B544" s="13" t="s">
        <v>419</v>
      </c>
      <c r="C544" s="13" t="s">
        <v>400</v>
      </c>
      <c r="D544" s="14">
        <v>0.54465920264079493</v>
      </c>
      <c r="E544" s="14">
        <v>8.1655263291538773</v>
      </c>
      <c r="F544" s="14">
        <v>20.598538910886347</v>
      </c>
      <c r="G544" s="14">
        <v>19.151762908880283</v>
      </c>
      <c r="H544" s="14">
        <v>26.867683094392572</v>
      </c>
      <c r="I544" s="14">
        <v>33.236376880216127</v>
      </c>
      <c r="J544" s="14">
        <v>60.977326000546135</v>
      </c>
    </row>
    <row r="545" spans="1:10" ht="15.75" x14ac:dyDescent="0.5">
      <c r="A545" s="13" t="s">
        <v>276</v>
      </c>
      <c r="B545" s="13" t="s">
        <v>420</v>
      </c>
      <c r="C545" s="13" t="s">
        <v>400</v>
      </c>
      <c r="D545" s="14">
        <v>-13.987252957808391</v>
      </c>
      <c r="E545" s="14">
        <v>-13.836341064901923</v>
      </c>
      <c r="F545" s="14">
        <v>-13.583891755962325</v>
      </c>
      <c r="G545" s="14">
        <v>-13.387909930806485</v>
      </c>
      <c r="H545" s="14">
        <v>-14.697426178593698</v>
      </c>
      <c r="I545" s="14">
        <v>-13.180172798451931</v>
      </c>
      <c r="J545" s="14">
        <v>-16.950060987672455</v>
      </c>
    </row>
    <row r="546" spans="1:10" ht="15.75" x14ac:dyDescent="0.5">
      <c r="A546" s="13" t="s">
        <v>277</v>
      </c>
      <c r="B546" s="13" t="s">
        <v>399</v>
      </c>
      <c r="C546" s="13" t="s">
        <v>400</v>
      </c>
      <c r="D546" s="14">
        <v>7.2499064625597898</v>
      </c>
      <c r="E546" s="14">
        <v>4.2389343065693544E-2</v>
      </c>
      <c r="F546" s="14">
        <v>0.51246000000000114</v>
      </c>
      <c r="G546" s="14">
        <v>1.9884240000000033</v>
      </c>
      <c r="H546" s="14">
        <v>3.2069438883255517</v>
      </c>
      <c r="I546" s="14">
        <v>2.052348414522835</v>
      </c>
      <c r="J546" s="14">
        <v>1.6379149125179171</v>
      </c>
    </row>
    <row r="547" spans="1:10" ht="15.75" x14ac:dyDescent="0.5">
      <c r="A547" s="13" t="s">
        <v>277</v>
      </c>
      <c r="B547" s="13" t="s">
        <v>401</v>
      </c>
      <c r="C547" s="13" t="s">
        <v>400</v>
      </c>
      <c r="D547" s="14" t="s">
        <v>250</v>
      </c>
      <c r="E547" s="14" t="s">
        <v>250</v>
      </c>
      <c r="F547" s="14">
        <v>69.757435376197549</v>
      </c>
      <c r="G547" s="14">
        <v>69.757435376197549</v>
      </c>
      <c r="H547" s="14">
        <v>10.140487131174538</v>
      </c>
      <c r="I547" s="14">
        <v>10.02983628523765</v>
      </c>
      <c r="J547" s="14" t="s">
        <v>250</v>
      </c>
    </row>
    <row r="548" spans="1:10" ht="15.75" x14ac:dyDescent="0.5">
      <c r="A548" s="13" t="s">
        <v>277</v>
      </c>
      <c r="B548" s="13" t="s">
        <v>402</v>
      </c>
      <c r="C548" s="13" t="s">
        <v>400</v>
      </c>
      <c r="D548" s="14">
        <v>1072.9916742877469</v>
      </c>
      <c r="E548" s="14">
        <v>401.83863127678899</v>
      </c>
      <c r="F548" s="14">
        <v>220.70924981232329</v>
      </c>
      <c r="G548" s="14">
        <v>329.61820658622025</v>
      </c>
      <c r="H548" s="14">
        <v>344.41207574506234</v>
      </c>
      <c r="I548" s="14">
        <v>397.72468168072891</v>
      </c>
      <c r="J548" s="14">
        <v>364.60061913432514</v>
      </c>
    </row>
    <row r="549" spans="1:10" ht="15.75" x14ac:dyDescent="0.5">
      <c r="A549" s="13" t="s">
        <v>277</v>
      </c>
      <c r="B549" s="13" t="s">
        <v>403</v>
      </c>
      <c r="C549" s="13" t="s">
        <v>400</v>
      </c>
      <c r="D549" s="14" t="s">
        <v>250</v>
      </c>
      <c r="E549" s="14" t="s">
        <v>250</v>
      </c>
      <c r="F549" s="14">
        <v>15.410777712000035</v>
      </c>
      <c r="G549" s="14">
        <v>15.410777712000035</v>
      </c>
      <c r="H549" s="14">
        <v>3.090396600000008</v>
      </c>
      <c r="I549" s="14">
        <v>3.0903966000000076</v>
      </c>
      <c r="J549" s="14" t="s">
        <v>250</v>
      </c>
    </row>
    <row r="550" spans="1:10" ht="15.75" x14ac:dyDescent="0.5">
      <c r="A550" s="13" t="s">
        <v>277</v>
      </c>
      <c r="B550" s="13" t="s">
        <v>404</v>
      </c>
      <c r="C550" s="13" t="s">
        <v>400</v>
      </c>
      <c r="D550" s="14" t="s">
        <v>250</v>
      </c>
      <c r="E550" s="14" t="s">
        <v>250</v>
      </c>
      <c r="F550" s="14" t="s">
        <v>250</v>
      </c>
      <c r="G550" s="14" t="s">
        <v>250</v>
      </c>
      <c r="H550" s="14" t="s">
        <v>250</v>
      </c>
      <c r="I550" s="14">
        <v>0.33069896914528529</v>
      </c>
      <c r="J550" s="14">
        <v>0.33069896914528535</v>
      </c>
    </row>
    <row r="551" spans="1:10" ht="15.75" x14ac:dyDescent="0.5">
      <c r="A551" s="13" t="s">
        <v>277</v>
      </c>
      <c r="B551" s="13" t="s">
        <v>421</v>
      </c>
      <c r="C551" s="13" t="s">
        <v>400</v>
      </c>
      <c r="D551" s="14" t="s">
        <v>250</v>
      </c>
      <c r="E551" s="14" t="s">
        <v>250</v>
      </c>
      <c r="F551" s="14" t="s">
        <v>250</v>
      </c>
      <c r="G551" s="14">
        <v>647.41505373800567</v>
      </c>
      <c r="H551" s="14">
        <v>1747.1449394319161</v>
      </c>
      <c r="I551" s="14">
        <v>1745.3422353604847</v>
      </c>
      <c r="J551" s="14">
        <v>296.55543959159667</v>
      </c>
    </row>
    <row r="552" spans="1:10" ht="15.75" x14ac:dyDescent="0.5">
      <c r="A552" s="13" t="s">
        <v>277</v>
      </c>
      <c r="B552" s="13" t="s">
        <v>405</v>
      </c>
      <c r="C552" s="13" t="s">
        <v>400</v>
      </c>
      <c r="D552" s="14">
        <v>1259.3891290889935</v>
      </c>
      <c r="E552" s="14">
        <v>1339.5184327488935</v>
      </c>
      <c r="F552" s="14">
        <v>1480.1394054963989</v>
      </c>
      <c r="G552" s="14">
        <v>1334.3086042734806</v>
      </c>
      <c r="H552" s="14">
        <v>1136.4539442364708</v>
      </c>
      <c r="I552" s="14">
        <v>1338.9550447879167</v>
      </c>
      <c r="J552" s="14">
        <v>2679.6043485592236</v>
      </c>
    </row>
    <row r="553" spans="1:10" ht="15.75" x14ac:dyDescent="0.5">
      <c r="A553" s="13" t="s">
        <v>277</v>
      </c>
      <c r="B553" s="13" t="s">
        <v>406</v>
      </c>
      <c r="C553" s="13" t="s">
        <v>400</v>
      </c>
      <c r="D553" s="14">
        <v>23.479196814299328</v>
      </c>
      <c r="E553" s="14">
        <v>20.526168765896415</v>
      </c>
      <c r="F553" s="14">
        <v>42.520516925560344</v>
      </c>
      <c r="G553" s="14">
        <v>42.858699706731954</v>
      </c>
      <c r="H553" s="14">
        <v>42.921773004321558</v>
      </c>
      <c r="I553" s="14">
        <v>43.707493257444007</v>
      </c>
      <c r="J553" s="14">
        <v>42.60474434589517</v>
      </c>
    </row>
    <row r="554" spans="1:10" ht="15.75" x14ac:dyDescent="0.5">
      <c r="A554" s="13" t="s">
        <v>277</v>
      </c>
      <c r="B554" s="13" t="s">
        <v>407</v>
      </c>
      <c r="C554" s="13" t="s">
        <v>400</v>
      </c>
      <c r="D554" s="14" t="s">
        <v>250</v>
      </c>
      <c r="E554" s="14">
        <v>118.35813666417624</v>
      </c>
      <c r="F554" s="14">
        <v>94.096341033844226</v>
      </c>
      <c r="G554" s="14">
        <v>226.32465996207873</v>
      </c>
      <c r="H554" s="14">
        <v>202.64664191644243</v>
      </c>
      <c r="I554" s="14">
        <v>301.41807244769814</v>
      </c>
      <c r="J554" s="14">
        <v>162.79784453895243</v>
      </c>
    </row>
    <row r="555" spans="1:10" ht="15.75" x14ac:dyDescent="0.5">
      <c r="A555" s="13" t="s">
        <v>277</v>
      </c>
      <c r="B555" s="13" t="s">
        <v>408</v>
      </c>
      <c r="C555" s="13" t="s">
        <v>400</v>
      </c>
      <c r="D555" s="14">
        <v>46.892290321001227</v>
      </c>
      <c r="E555" s="14">
        <v>35.194929152588387</v>
      </c>
      <c r="F555" s="14">
        <v>32.249897777219566</v>
      </c>
      <c r="G555" s="14">
        <v>45.848516173158814</v>
      </c>
      <c r="H555" s="14">
        <v>45.767084202448366</v>
      </c>
      <c r="I555" s="14">
        <v>46.632971381381637</v>
      </c>
      <c r="J555" s="14">
        <v>45.598096822015798</v>
      </c>
    </row>
    <row r="556" spans="1:10" ht="15.75" x14ac:dyDescent="0.5">
      <c r="A556" s="13" t="s">
        <v>277</v>
      </c>
      <c r="B556" s="13" t="s">
        <v>409</v>
      </c>
      <c r="C556" s="13" t="s">
        <v>400</v>
      </c>
      <c r="D556" s="14">
        <v>18.36570427000003</v>
      </c>
      <c r="E556" s="14">
        <v>18.36570427000003</v>
      </c>
      <c r="F556" s="14">
        <v>18.36570427000003</v>
      </c>
      <c r="G556" s="14">
        <v>18.365704270000037</v>
      </c>
      <c r="H556" s="14">
        <v>18.36570427000003</v>
      </c>
      <c r="I556" s="14">
        <v>18.365704270000037</v>
      </c>
      <c r="J556" s="14">
        <v>18.365704270000034</v>
      </c>
    </row>
    <row r="557" spans="1:10" ht="15.75" x14ac:dyDescent="0.5">
      <c r="A557" s="13" t="s">
        <v>277</v>
      </c>
      <c r="B557" s="13" t="s">
        <v>410</v>
      </c>
      <c r="C557" s="13" t="s">
        <v>400</v>
      </c>
      <c r="D557" s="14">
        <v>245.79356253202209</v>
      </c>
      <c r="E557" s="14">
        <v>244.93831339319416</v>
      </c>
      <c r="F557" s="14">
        <v>246.12445039394575</v>
      </c>
      <c r="G557" s="14">
        <v>246.1695328024129</v>
      </c>
      <c r="H557" s="14">
        <v>246.1699759413911</v>
      </c>
      <c r="I557" s="14">
        <v>246.16997594139087</v>
      </c>
      <c r="J557" s="14">
        <v>246.1699759413909</v>
      </c>
    </row>
    <row r="558" spans="1:10" ht="15.75" x14ac:dyDescent="0.5">
      <c r="A558" s="13" t="s">
        <v>277</v>
      </c>
      <c r="B558" s="13" t="s">
        <v>411</v>
      </c>
      <c r="C558" s="13" t="s">
        <v>400</v>
      </c>
      <c r="D558" s="14">
        <v>7.1394000000000171</v>
      </c>
      <c r="E558" s="14">
        <v>6.4114426597830061</v>
      </c>
      <c r="F558" s="14">
        <v>1.9272000000000058</v>
      </c>
      <c r="G558" s="14">
        <v>1.9272000000000054</v>
      </c>
      <c r="H558" s="14">
        <v>1.9272000000000054</v>
      </c>
      <c r="I558" s="14">
        <v>1.9272000000000051</v>
      </c>
      <c r="J558" s="14">
        <v>1.9272000000000056</v>
      </c>
    </row>
    <row r="559" spans="1:10" ht="15.75" x14ac:dyDescent="0.5">
      <c r="A559" s="13" t="s">
        <v>277</v>
      </c>
      <c r="B559" s="13" t="s">
        <v>412</v>
      </c>
      <c r="C559" s="13" t="s">
        <v>400</v>
      </c>
      <c r="D559" s="14">
        <v>760.72545968400198</v>
      </c>
      <c r="E559" s="14">
        <v>747.49408035278225</v>
      </c>
      <c r="F559" s="14">
        <v>645.49024443003054</v>
      </c>
      <c r="G559" s="14">
        <v>712.14144985005862</v>
      </c>
      <c r="H559" s="14">
        <v>734.38837101840545</v>
      </c>
      <c r="I559" s="14">
        <v>803.14327903798926</v>
      </c>
      <c r="J559" s="14">
        <v>919.3463134788708</v>
      </c>
    </row>
    <row r="560" spans="1:10" ht="15.75" x14ac:dyDescent="0.5">
      <c r="A560" s="13" t="s">
        <v>277</v>
      </c>
      <c r="B560" s="13" t="s">
        <v>413</v>
      </c>
      <c r="C560" s="13" t="s">
        <v>400</v>
      </c>
      <c r="D560" s="14">
        <v>23.702927619886136</v>
      </c>
      <c r="E560" s="14">
        <v>20.585200911293668</v>
      </c>
      <c r="F560" s="14">
        <v>6.3777499100218424</v>
      </c>
      <c r="G560" s="14">
        <v>2.7003294118916492</v>
      </c>
      <c r="H560" s="14">
        <v>1.7907430327373475</v>
      </c>
      <c r="I560" s="14">
        <v>0.9992914508163504</v>
      </c>
      <c r="J560" s="14">
        <v>0.96878493412226874</v>
      </c>
    </row>
    <row r="561" spans="1:10" ht="15.75" x14ac:dyDescent="0.5">
      <c r="A561" s="13" t="s">
        <v>277</v>
      </c>
      <c r="B561" s="13" t="s">
        <v>414</v>
      </c>
      <c r="C561" s="13" t="s">
        <v>400</v>
      </c>
      <c r="D561" s="14">
        <v>0.6803907705109502</v>
      </c>
      <c r="E561" s="14">
        <v>25.08331823039893</v>
      </c>
      <c r="F561" s="14">
        <v>94.559266034291184</v>
      </c>
      <c r="G561" s="14">
        <v>188.43084983805284</v>
      </c>
      <c r="H561" s="14">
        <v>240.54287164885341</v>
      </c>
      <c r="I561" s="14">
        <v>241.15612902249015</v>
      </c>
      <c r="J561" s="14">
        <v>241.59417000365983</v>
      </c>
    </row>
    <row r="562" spans="1:10" ht="15.75" x14ac:dyDescent="0.5">
      <c r="A562" s="13" t="s">
        <v>277</v>
      </c>
      <c r="B562" s="13" t="s">
        <v>415</v>
      </c>
      <c r="C562" s="13" t="s">
        <v>400</v>
      </c>
      <c r="D562" s="14">
        <v>440.53124483255556</v>
      </c>
      <c r="E562" s="14">
        <v>866.78933887624657</v>
      </c>
      <c r="F562" s="14">
        <v>1336.7565880670354</v>
      </c>
      <c r="G562" s="14">
        <v>1420.3587700001076</v>
      </c>
      <c r="H562" s="14">
        <v>1532.2868057171527</v>
      </c>
      <c r="I562" s="14">
        <v>1631.6490131527987</v>
      </c>
      <c r="J562" s="14">
        <v>1772.1627785672677</v>
      </c>
    </row>
    <row r="563" spans="1:10" ht="15.75" x14ac:dyDescent="0.5">
      <c r="A563" s="13" t="s">
        <v>277</v>
      </c>
      <c r="B563" s="13" t="s">
        <v>416</v>
      </c>
      <c r="C563" s="13" t="s">
        <v>400</v>
      </c>
      <c r="D563" s="14" t="s">
        <v>250</v>
      </c>
      <c r="E563" s="14">
        <v>54.174742594980984</v>
      </c>
      <c r="F563" s="14">
        <v>66.675949052097479</v>
      </c>
      <c r="G563" s="14">
        <v>76.801435170202083</v>
      </c>
      <c r="H563" s="14">
        <v>77.990654991853717</v>
      </c>
      <c r="I563" s="14">
        <v>82.683057309487651</v>
      </c>
      <c r="J563" s="14">
        <v>94.727837483420927</v>
      </c>
    </row>
    <row r="564" spans="1:10" ht="15.75" x14ac:dyDescent="0.5">
      <c r="A564" s="13" t="s">
        <v>277</v>
      </c>
      <c r="B564" s="13" t="s">
        <v>417</v>
      </c>
      <c r="C564" s="13" t="s">
        <v>400</v>
      </c>
      <c r="D564" s="14">
        <v>187.48709633408694</v>
      </c>
      <c r="E564" s="14">
        <v>301.27702622378945</v>
      </c>
      <c r="F564" s="14">
        <v>343.4678200566014</v>
      </c>
      <c r="G564" s="14">
        <v>402.50804113719539</v>
      </c>
      <c r="H564" s="14">
        <v>537.06798439498334</v>
      </c>
      <c r="I564" s="14">
        <v>894.44659260932065</v>
      </c>
      <c r="J564" s="14">
        <v>1512.8805053551118</v>
      </c>
    </row>
    <row r="565" spans="1:10" ht="15.75" x14ac:dyDescent="0.5">
      <c r="A565" s="13" t="s">
        <v>277</v>
      </c>
      <c r="B565" s="13" t="s">
        <v>418</v>
      </c>
      <c r="C565" s="13" t="s">
        <v>400</v>
      </c>
      <c r="D565" s="14">
        <v>3.184175173101953</v>
      </c>
      <c r="E565" s="14">
        <v>3.1841751731019539</v>
      </c>
      <c r="F565" s="14">
        <v>3.184175173101953</v>
      </c>
      <c r="G565" s="14">
        <v>3.1841751731019534</v>
      </c>
      <c r="H565" s="14">
        <v>3.1841751731019539</v>
      </c>
      <c r="I565" s="14">
        <v>3.1841751731019534</v>
      </c>
      <c r="J565" s="14">
        <v>3.1841751731019534</v>
      </c>
    </row>
    <row r="566" spans="1:10" ht="15.75" x14ac:dyDescent="0.5">
      <c r="A566" s="13" t="s">
        <v>277</v>
      </c>
      <c r="B566" s="13" t="s">
        <v>419</v>
      </c>
      <c r="C566" s="13" t="s">
        <v>400</v>
      </c>
      <c r="D566" s="14">
        <v>0.54465920264079504</v>
      </c>
      <c r="E566" s="14">
        <v>8.1497201712132181</v>
      </c>
      <c r="F566" s="14">
        <v>20.563745706139468</v>
      </c>
      <c r="G566" s="14">
        <v>19.155838821997783</v>
      </c>
      <c r="H566" s="14">
        <v>27.056236545887412</v>
      </c>
      <c r="I566" s="14">
        <v>31.794398189284539</v>
      </c>
      <c r="J566" s="14">
        <v>54.847967106000574</v>
      </c>
    </row>
    <row r="567" spans="1:10" ht="15.75" x14ac:dyDescent="0.5">
      <c r="A567" s="13" t="s">
        <v>277</v>
      </c>
      <c r="B567" s="13" t="s">
        <v>420</v>
      </c>
      <c r="C567" s="13" t="s">
        <v>400</v>
      </c>
      <c r="D567" s="14">
        <v>-13.987252957808314</v>
      </c>
      <c r="E567" s="14">
        <v>-13.855643476965113</v>
      </c>
      <c r="F567" s="14">
        <v>-13.541992081742087</v>
      </c>
      <c r="G567" s="14">
        <v>-13.436539365006782</v>
      </c>
      <c r="H567" s="14">
        <v>-14.518848272056944</v>
      </c>
      <c r="I567" s="14">
        <v>-13.36049870934159</v>
      </c>
      <c r="J567" s="14">
        <v>-16.531854971927167</v>
      </c>
    </row>
    <row r="568" spans="1:10" ht="15.75" x14ac:dyDescent="0.5">
      <c r="A568" s="13" t="s">
        <v>278</v>
      </c>
      <c r="B568" s="13" t="s">
        <v>399</v>
      </c>
      <c r="C568" s="13" t="s">
        <v>400</v>
      </c>
      <c r="D568" s="14">
        <v>7.2499064625597898</v>
      </c>
      <c r="E568" s="14">
        <v>0.29730534306569401</v>
      </c>
      <c r="F568" s="14">
        <v>0.51246000000000103</v>
      </c>
      <c r="G568" s="14">
        <v>1.8080640000000039</v>
      </c>
      <c r="H568" s="14">
        <v>2.5226060337990646</v>
      </c>
      <c r="I568" s="14">
        <v>1.1546308016658169</v>
      </c>
      <c r="J568" s="14">
        <v>0.5037548431556379</v>
      </c>
    </row>
    <row r="569" spans="1:10" ht="15.75" x14ac:dyDescent="0.5">
      <c r="A569" s="13" t="s">
        <v>278</v>
      </c>
      <c r="B569" s="13" t="s">
        <v>401</v>
      </c>
      <c r="C569" s="13" t="s">
        <v>400</v>
      </c>
      <c r="D569" s="14" t="s">
        <v>250</v>
      </c>
      <c r="E569" s="14" t="s">
        <v>250</v>
      </c>
      <c r="F569" s="14">
        <v>78.251686517694111</v>
      </c>
      <c r="G569" s="14">
        <v>78.251686517694139</v>
      </c>
      <c r="H569" s="14">
        <v>14.214077900360861</v>
      </c>
      <c r="I569" s="14">
        <v>13.929882615911655</v>
      </c>
      <c r="J569" s="14" t="s">
        <v>250</v>
      </c>
    </row>
    <row r="570" spans="1:10" ht="15.75" x14ac:dyDescent="0.5">
      <c r="A570" s="13" t="s">
        <v>278</v>
      </c>
      <c r="B570" s="13" t="s">
        <v>402</v>
      </c>
      <c r="C570" s="13" t="s">
        <v>400</v>
      </c>
      <c r="D570" s="14">
        <v>1072.9916742877465</v>
      </c>
      <c r="E570" s="14">
        <v>402.08684029474369</v>
      </c>
      <c r="F570" s="14">
        <v>217.05392182842061</v>
      </c>
      <c r="G570" s="14">
        <v>337.50192490984836</v>
      </c>
      <c r="H570" s="14">
        <v>336.93308169446857</v>
      </c>
      <c r="I570" s="14">
        <v>298.36010538065364</v>
      </c>
      <c r="J570" s="14">
        <v>235.3109294685157</v>
      </c>
    </row>
    <row r="571" spans="1:10" ht="15.75" x14ac:dyDescent="0.5">
      <c r="A571" s="13" t="s">
        <v>278</v>
      </c>
      <c r="B571" s="13" t="s">
        <v>403</v>
      </c>
      <c r="C571" s="13" t="s">
        <v>400</v>
      </c>
      <c r="D571" s="14" t="s">
        <v>250</v>
      </c>
      <c r="E571" s="14" t="s">
        <v>250</v>
      </c>
      <c r="F571" s="14">
        <v>15.410777712000032</v>
      </c>
      <c r="G571" s="14">
        <v>15.41077771200003</v>
      </c>
      <c r="H571" s="14">
        <v>3.0903966000000072</v>
      </c>
      <c r="I571" s="14">
        <v>3.0903966000000076</v>
      </c>
      <c r="J571" s="14" t="s">
        <v>250</v>
      </c>
    </row>
    <row r="572" spans="1:10" ht="15.75" x14ac:dyDescent="0.5">
      <c r="A572" s="13" t="s">
        <v>278</v>
      </c>
      <c r="B572" s="13" t="s">
        <v>404</v>
      </c>
      <c r="C572" s="13" t="s">
        <v>400</v>
      </c>
      <c r="D572" s="14" t="s">
        <v>250</v>
      </c>
      <c r="E572" s="14" t="s">
        <v>250</v>
      </c>
      <c r="F572" s="14" t="s">
        <v>250</v>
      </c>
      <c r="G572" s="14" t="s">
        <v>250</v>
      </c>
      <c r="H572" s="14" t="s">
        <v>250</v>
      </c>
      <c r="I572" s="14">
        <v>0.3306989691452854</v>
      </c>
      <c r="J572" s="14">
        <v>0.3306989691452854</v>
      </c>
    </row>
    <row r="573" spans="1:10" ht="15.75" x14ac:dyDescent="0.5">
      <c r="A573" s="13" t="s">
        <v>278</v>
      </c>
      <c r="B573" s="13" t="s">
        <v>421</v>
      </c>
      <c r="C573" s="13" t="s">
        <v>400</v>
      </c>
      <c r="D573" s="14" t="s">
        <v>250</v>
      </c>
      <c r="E573" s="14" t="s">
        <v>250</v>
      </c>
      <c r="F573" s="14" t="s">
        <v>250</v>
      </c>
      <c r="G573" s="14">
        <v>602.31767659982768</v>
      </c>
      <c r="H573" s="14">
        <v>1625.3946670160526</v>
      </c>
      <c r="I573" s="14">
        <v>1624.2226517411013</v>
      </c>
      <c r="J573" s="14">
        <v>277.67470569918424</v>
      </c>
    </row>
    <row r="574" spans="1:10" ht="15.75" x14ac:dyDescent="0.5">
      <c r="A574" s="13" t="s">
        <v>278</v>
      </c>
      <c r="B574" s="13" t="s">
        <v>405</v>
      </c>
      <c r="C574" s="13" t="s">
        <v>400</v>
      </c>
      <c r="D574" s="14">
        <v>1259.3891290889944</v>
      </c>
      <c r="E574" s="14">
        <v>1334.2482908868285</v>
      </c>
      <c r="F574" s="14">
        <v>1464.477281190701</v>
      </c>
      <c r="G574" s="14">
        <v>1325.5100138697032</v>
      </c>
      <c r="H574" s="14">
        <v>950.58039600401037</v>
      </c>
      <c r="I574" s="14">
        <v>773.43697690348199</v>
      </c>
      <c r="J574" s="14">
        <v>1037.5903631947067</v>
      </c>
    </row>
    <row r="575" spans="1:10" ht="15.75" x14ac:dyDescent="0.5">
      <c r="A575" s="13" t="s">
        <v>278</v>
      </c>
      <c r="B575" s="13" t="s">
        <v>406</v>
      </c>
      <c r="C575" s="13" t="s">
        <v>400</v>
      </c>
      <c r="D575" s="14">
        <v>23.479196814299335</v>
      </c>
      <c r="E575" s="14">
        <v>20.860637324311451</v>
      </c>
      <c r="F575" s="14">
        <v>42.700616220632462</v>
      </c>
      <c r="G575" s="14">
        <v>43.387075314113325</v>
      </c>
      <c r="H575" s="14">
        <v>44.029354051245299</v>
      </c>
      <c r="I575" s="14">
        <v>46.964777572948989</v>
      </c>
      <c r="J575" s="14">
        <v>44.540077567656844</v>
      </c>
    </row>
    <row r="576" spans="1:10" ht="15.75" x14ac:dyDescent="0.5">
      <c r="A576" s="13" t="s">
        <v>278</v>
      </c>
      <c r="B576" s="13" t="s">
        <v>407</v>
      </c>
      <c r="C576" s="13" t="s">
        <v>400</v>
      </c>
      <c r="D576" s="14" t="s">
        <v>250</v>
      </c>
      <c r="E576" s="14">
        <v>117.91608681641794</v>
      </c>
      <c r="F576" s="14">
        <v>95.613579671502166</v>
      </c>
      <c r="G576" s="14">
        <v>247.98402742915172</v>
      </c>
      <c r="H576" s="14">
        <v>162.89223274632928</v>
      </c>
      <c r="I576" s="14">
        <v>155.83188333146117</v>
      </c>
      <c r="J576" s="14">
        <v>91.937423641976793</v>
      </c>
    </row>
    <row r="577" spans="1:10" ht="15.75" x14ac:dyDescent="0.5">
      <c r="A577" s="13" t="s">
        <v>278</v>
      </c>
      <c r="B577" s="13" t="s">
        <v>408</v>
      </c>
      <c r="C577" s="13" t="s">
        <v>400</v>
      </c>
      <c r="D577" s="14">
        <v>46.892290321001219</v>
      </c>
      <c r="E577" s="14">
        <v>35.164691885854047</v>
      </c>
      <c r="F577" s="14">
        <v>31.764251195214992</v>
      </c>
      <c r="G577" s="14">
        <v>46.200561425912703</v>
      </c>
      <c r="H577" s="14">
        <v>45.057272812120125</v>
      </c>
      <c r="I577" s="14">
        <v>43.235026899630391</v>
      </c>
      <c r="J577" s="14">
        <v>42.562559368807477</v>
      </c>
    </row>
    <row r="578" spans="1:10" ht="15.75" x14ac:dyDescent="0.5">
      <c r="A578" s="13" t="s">
        <v>278</v>
      </c>
      <c r="B578" s="13" t="s">
        <v>409</v>
      </c>
      <c r="C578" s="13" t="s">
        <v>400</v>
      </c>
      <c r="D578" s="14">
        <v>18.365704270000034</v>
      </c>
      <c r="E578" s="14">
        <v>18.36570427000003</v>
      </c>
      <c r="F578" s="14">
        <v>18.365704270000027</v>
      </c>
      <c r="G578" s="14">
        <v>18.365704270000037</v>
      </c>
      <c r="H578" s="14">
        <v>18.365704270000034</v>
      </c>
      <c r="I578" s="14">
        <v>18.36570427000003</v>
      </c>
      <c r="J578" s="14">
        <v>18.365704270000037</v>
      </c>
    </row>
    <row r="579" spans="1:10" ht="15.75" x14ac:dyDescent="0.5">
      <c r="A579" s="13" t="s">
        <v>278</v>
      </c>
      <c r="B579" s="13" t="s">
        <v>410</v>
      </c>
      <c r="C579" s="13" t="s">
        <v>400</v>
      </c>
      <c r="D579" s="14">
        <v>245.79356253202215</v>
      </c>
      <c r="E579" s="14">
        <v>244.95446172950966</v>
      </c>
      <c r="F579" s="14">
        <v>246.12445039394555</v>
      </c>
      <c r="G579" s="14">
        <v>246.16953280241341</v>
      </c>
      <c r="H579" s="14">
        <v>246.16997594139181</v>
      </c>
      <c r="I579" s="14">
        <v>246.16678602696908</v>
      </c>
      <c r="J579" s="14">
        <v>246.16953280241285</v>
      </c>
    </row>
    <row r="580" spans="1:10" ht="15.75" x14ac:dyDescent="0.5">
      <c r="A580" s="13" t="s">
        <v>278</v>
      </c>
      <c r="B580" s="13" t="s">
        <v>411</v>
      </c>
      <c r="C580" s="13" t="s">
        <v>400</v>
      </c>
      <c r="D580" s="14">
        <v>7.1394000000000162</v>
      </c>
      <c r="E580" s="14">
        <v>6.2121135766423494</v>
      </c>
      <c r="F580" s="14">
        <v>1.9272000000000054</v>
      </c>
      <c r="G580" s="14">
        <v>1.9272000000000056</v>
      </c>
      <c r="H580" s="14">
        <v>1.9272000000000051</v>
      </c>
      <c r="I580" s="14">
        <v>1.9272000000000058</v>
      </c>
      <c r="J580" s="14" t="s">
        <v>250</v>
      </c>
    </row>
    <row r="581" spans="1:10" ht="15.75" x14ac:dyDescent="0.5">
      <c r="A581" s="13" t="s">
        <v>278</v>
      </c>
      <c r="B581" s="13" t="s">
        <v>412</v>
      </c>
      <c r="C581" s="13" t="s">
        <v>400</v>
      </c>
      <c r="D581" s="14">
        <v>760.72545968400163</v>
      </c>
      <c r="E581" s="14">
        <v>754.8040107103933</v>
      </c>
      <c r="F581" s="14">
        <v>672.4873450631942</v>
      </c>
      <c r="G581" s="14">
        <v>793.68752387621021</v>
      </c>
      <c r="H581" s="14">
        <v>1273.71273769154</v>
      </c>
      <c r="I581" s="14">
        <v>2243.4389093912623</v>
      </c>
      <c r="J581" s="14">
        <v>3204.2813533805006</v>
      </c>
    </row>
    <row r="582" spans="1:10" ht="15.75" x14ac:dyDescent="0.5">
      <c r="A582" s="13" t="s">
        <v>278</v>
      </c>
      <c r="B582" s="13" t="s">
        <v>413</v>
      </c>
      <c r="C582" s="13" t="s">
        <v>400</v>
      </c>
      <c r="D582" s="14">
        <v>23.702927619886136</v>
      </c>
      <c r="E582" s="14">
        <v>20.67535150135194</v>
      </c>
      <c r="F582" s="14">
        <v>6.3634231165992521</v>
      </c>
      <c r="G582" s="14">
        <v>3.4676323544397194</v>
      </c>
      <c r="H582" s="14">
        <v>1.8274806036737812</v>
      </c>
      <c r="I582" s="14">
        <v>0.90622682209095395</v>
      </c>
      <c r="J582" s="14">
        <v>0.98848029932570458</v>
      </c>
    </row>
    <row r="583" spans="1:10" ht="15.75" x14ac:dyDescent="0.5">
      <c r="A583" s="13" t="s">
        <v>278</v>
      </c>
      <c r="B583" s="13" t="s">
        <v>414</v>
      </c>
      <c r="C583" s="13" t="s">
        <v>400</v>
      </c>
      <c r="D583" s="14">
        <v>0.6803907705109502</v>
      </c>
      <c r="E583" s="14">
        <v>25.068529386835337</v>
      </c>
      <c r="F583" s="14">
        <v>94.572555085806016</v>
      </c>
      <c r="G583" s="14">
        <v>188.54587970894897</v>
      </c>
      <c r="H583" s="14">
        <v>240.60642394081196</v>
      </c>
      <c r="I583" s="14">
        <v>241.21986655952202</v>
      </c>
      <c r="J583" s="14">
        <v>241.65803985860131</v>
      </c>
    </row>
    <row r="584" spans="1:10" ht="15.75" x14ac:dyDescent="0.5">
      <c r="A584" s="13" t="s">
        <v>278</v>
      </c>
      <c r="B584" s="13" t="s">
        <v>415</v>
      </c>
      <c r="C584" s="13" t="s">
        <v>400</v>
      </c>
      <c r="D584" s="14">
        <v>440.53124483255561</v>
      </c>
      <c r="E584" s="14">
        <v>864.19715520520879</v>
      </c>
      <c r="F584" s="14">
        <v>1318.0327727314855</v>
      </c>
      <c r="G584" s="14">
        <v>1370.514854524585</v>
      </c>
      <c r="H584" s="14">
        <v>1441.7781390263624</v>
      </c>
      <c r="I584" s="14">
        <v>1485.9293515798449</v>
      </c>
      <c r="J584" s="14">
        <v>1510.5590611966802</v>
      </c>
    </row>
    <row r="585" spans="1:10" ht="15.75" x14ac:dyDescent="0.5">
      <c r="A585" s="13" t="s">
        <v>278</v>
      </c>
      <c r="B585" s="13" t="s">
        <v>416</v>
      </c>
      <c r="C585" s="13" t="s">
        <v>400</v>
      </c>
      <c r="D585" s="14" t="s">
        <v>250</v>
      </c>
      <c r="E585" s="14">
        <v>54.174742594980977</v>
      </c>
      <c r="F585" s="14">
        <v>66.675949052097494</v>
      </c>
      <c r="G585" s="14">
        <v>76.801435170202126</v>
      </c>
      <c r="H585" s="14">
        <v>77.990654991853717</v>
      </c>
      <c r="I585" s="14">
        <v>82.683057309487609</v>
      </c>
      <c r="J585" s="14">
        <v>94.727837483420956</v>
      </c>
    </row>
    <row r="586" spans="1:10" ht="15.75" x14ac:dyDescent="0.5">
      <c r="A586" s="13" t="s">
        <v>278</v>
      </c>
      <c r="B586" s="13" t="s">
        <v>417</v>
      </c>
      <c r="C586" s="13" t="s">
        <v>400</v>
      </c>
      <c r="D586" s="14">
        <v>187.48709633408694</v>
      </c>
      <c r="E586" s="14">
        <v>301.27702622378968</v>
      </c>
      <c r="F586" s="14">
        <v>343.46782005660145</v>
      </c>
      <c r="G586" s="14">
        <v>380.44429657771485</v>
      </c>
      <c r="H586" s="14">
        <v>436.56077726399769</v>
      </c>
      <c r="I586" s="14">
        <v>536.26843149497893</v>
      </c>
      <c r="J586" s="14">
        <v>1351.1124228042531</v>
      </c>
    </row>
    <row r="587" spans="1:10" ht="15.75" x14ac:dyDescent="0.5">
      <c r="A587" s="13" t="s">
        <v>278</v>
      </c>
      <c r="B587" s="13" t="s">
        <v>418</v>
      </c>
      <c r="C587" s="13" t="s">
        <v>400</v>
      </c>
      <c r="D587" s="14">
        <v>3.184175173101953</v>
      </c>
      <c r="E587" s="14">
        <v>3.184175173101953</v>
      </c>
      <c r="F587" s="14">
        <v>3.1841751731019539</v>
      </c>
      <c r="G587" s="14">
        <v>3.1841751731019534</v>
      </c>
      <c r="H587" s="14">
        <v>3.1841751731019534</v>
      </c>
      <c r="I587" s="14">
        <v>3.1841751731019534</v>
      </c>
      <c r="J587" s="14">
        <v>3.1841751731019525</v>
      </c>
    </row>
    <row r="588" spans="1:10" ht="15.75" x14ac:dyDescent="0.5">
      <c r="A588" s="13" t="s">
        <v>278</v>
      </c>
      <c r="B588" s="13" t="s">
        <v>419</v>
      </c>
      <c r="C588" s="13" t="s">
        <v>400</v>
      </c>
      <c r="D588" s="14">
        <v>0.54465920264079493</v>
      </c>
      <c r="E588" s="14">
        <v>7.9124717543559413</v>
      </c>
      <c r="F588" s="14">
        <v>20.278303197215873</v>
      </c>
      <c r="G588" s="14">
        <v>18.407019040241856</v>
      </c>
      <c r="H588" s="14">
        <v>22.133288529346753</v>
      </c>
      <c r="I588" s="14">
        <v>22.657754331624073</v>
      </c>
      <c r="J588" s="14">
        <v>42.525797395335125</v>
      </c>
    </row>
    <row r="589" spans="1:10" ht="15.75" x14ac:dyDescent="0.5">
      <c r="A589" s="13" t="s">
        <v>278</v>
      </c>
      <c r="B589" s="13" t="s">
        <v>420</v>
      </c>
      <c r="C589" s="13" t="s">
        <v>400</v>
      </c>
      <c r="D589" s="14">
        <v>-13.987252957808371</v>
      </c>
      <c r="E589" s="14">
        <v>-13.936827661001862</v>
      </c>
      <c r="F589" s="14">
        <v>-14.119390479018129</v>
      </c>
      <c r="G589" s="14">
        <v>-13.396107666536345</v>
      </c>
      <c r="H589" s="14">
        <v>-12.889538361942702</v>
      </c>
      <c r="I589" s="14">
        <v>-14.424999168539841</v>
      </c>
      <c r="J589" s="14">
        <v>-16.392786804180329</v>
      </c>
    </row>
    <row r="590" spans="1:10" ht="15.75" x14ac:dyDescent="0.5">
      <c r="A590" s="13" t="s">
        <v>279</v>
      </c>
      <c r="B590" s="13" t="s">
        <v>399</v>
      </c>
      <c r="C590" s="13" t="s">
        <v>400</v>
      </c>
      <c r="D590" s="14">
        <v>7.2499064625597889</v>
      </c>
      <c r="E590" s="14">
        <v>4.2389343065693544E-2</v>
      </c>
      <c r="F590" s="14">
        <v>0.51246000000000114</v>
      </c>
      <c r="G590" s="14">
        <v>2.2385135788212382</v>
      </c>
      <c r="H590" s="14">
        <v>4.0000609750818379</v>
      </c>
      <c r="I590" s="14">
        <v>4.1916040954354026</v>
      </c>
      <c r="J590" s="14">
        <v>4.5151972282705124</v>
      </c>
    </row>
    <row r="591" spans="1:10" ht="15.75" x14ac:dyDescent="0.5">
      <c r="A591" s="13" t="s">
        <v>279</v>
      </c>
      <c r="B591" s="13" t="s">
        <v>401</v>
      </c>
      <c r="C591" s="13" t="s">
        <v>400</v>
      </c>
      <c r="D591" s="14" t="s">
        <v>250</v>
      </c>
      <c r="E591" s="14" t="s">
        <v>250</v>
      </c>
      <c r="F591" s="14">
        <v>147.41343587777891</v>
      </c>
      <c r="G591" s="14">
        <v>147.41343587777894</v>
      </c>
      <c r="H591" s="14">
        <v>31.897715246427452</v>
      </c>
      <c r="I591" s="14">
        <v>30.16588685972604</v>
      </c>
      <c r="J591" s="14" t="s">
        <v>250</v>
      </c>
    </row>
    <row r="592" spans="1:10" ht="15.75" x14ac:dyDescent="0.5">
      <c r="A592" s="13" t="s">
        <v>279</v>
      </c>
      <c r="B592" s="13" t="s">
        <v>402</v>
      </c>
      <c r="C592" s="13" t="s">
        <v>400</v>
      </c>
      <c r="D592" s="14">
        <v>1072.9916742877463</v>
      </c>
      <c r="E592" s="14">
        <v>404.38941939932744</v>
      </c>
      <c r="F592" s="14">
        <v>159.52835939440504</v>
      </c>
      <c r="G592" s="14">
        <v>115.67916354124272</v>
      </c>
      <c r="H592" s="14">
        <v>79.832918719878251</v>
      </c>
      <c r="I592" s="14">
        <v>18.885325297301804</v>
      </c>
      <c r="J592" s="14" t="s">
        <v>250</v>
      </c>
    </row>
    <row r="593" spans="1:10" ht="15.75" x14ac:dyDescent="0.5">
      <c r="A593" s="13" t="s">
        <v>279</v>
      </c>
      <c r="B593" s="13" t="s">
        <v>403</v>
      </c>
      <c r="C593" s="13" t="s">
        <v>400</v>
      </c>
      <c r="D593" s="14" t="s">
        <v>250</v>
      </c>
      <c r="E593" s="14" t="s">
        <v>250</v>
      </c>
      <c r="F593" s="14">
        <v>95.291349879973538</v>
      </c>
      <c r="G593" s="14">
        <v>95.291349879973524</v>
      </c>
      <c r="H593" s="14">
        <v>19.271808634281506</v>
      </c>
      <c r="I593" s="14">
        <v>24.024746864783101</v>
      </c>
      <c r="J593" s="14">
        <v>14.326150275886452</v>
      </c>
    </row>
    <row r="594" spans="1:10" ht="15.75" x14ac:dyDescent="0.5">
      <c r="A594" s="13" t="s">
        <v>279</v>
      </c>
      <c r="B594" s="13" t="s">
        <v>404</v>
      </c>
      <c r="C594" s="13" t="s">
        <v>400</v>
      </c>
      <c r="D594" s="14" t="s">
        <v>250</v>
      </c>
      <c r="E594" s="14" t="s">
        <v>250</v>
      </c>
      <c r="F594" s="14" t="s">
        <v>250</v>
      </c>
      <c r="G594" s="14" t="s">
        <v>250</v>
      </c>
      <c r="H594" s="14" t="s">
        <v>250</v>
      </c>
      <c r="I594" s="14">
        <v>11.734256175023132</v>
      </c>
      <c r="J594" s="14">
        <v>129.34873631560228</v>
      </c>
    </row>
    <row r="595" spans="1:10" ht="15.75" x14ac:dyDescent="0.5">
      <c r="A595" s="13" t="s">
        <v>279</v>
      </c>
      <c r="B595" s="13" t="s">
        <v>421</v>
      </c>
      <c r="C595" s="13" t="s">
        <v>400</v>
      </c>
      <c r="D595" s="14" t="s">
        <v>250</v>
      </c>
      <c r="E595" s="14" t="s">
        <v>250</v>
      </c>
      <c r="F595" s="14" t="s">
        <v>250</v>
      </c>
      <c r="G595" s="14">
        <v>674.86184444282026</v>
      </c>
      <c r="H595" s="14">
        <v>1820.7731558403514</v>
      </c>
      <c r="I595" s="14">
        <v>1810.9410749864646</v>
      </c>
      <c r="J595" s="14">
        <v>1285.7289597340439</v>
      </c>
    </row>
    <row r="596" spans="1:10" ht="15.75" x14ac:dyDescent="0.5">
      <c r="A596" s="13" t="s">
        <v>279</v>
      </c>
      <c r="B596" s="13" t="s">
        <v>405</v>
      </c>
      <c r="C596" s="13" t="s">
        <v>400</v>
      </c>
      <c r="D596" s="14">
        <v>1259.3891290889958</v>
      </c>
      <c r="E596" s="14">
        <v>1332.6218269425076</v>
      </c>
      <c r="F596" s="14">
        <v>1344.8940040598336</v>
      </c>
      <c r="G596" s="14">
        <v>1240.4039884745921</v>
      </c>
      <c r="H596" s="14">
        <v>891.4493406972548</v>
      </c>
      <c r="I596" s="14">
        <v>530.2183475366046</v>
      </c>
      <c r="J596" s="14">
        <v>169.6350871046979</v>
      </c>
    </row>
    <row r="597" spans="1:10" ht="15.75" x14ac:dyDescent="0.5">
      <c r="A597" s="13" t="s">
        <v>279</v>
      </c>
      <c r="B597" s="13" t="s">
        <v>406</v>
      </c>
      <c r="C597" s="13" t="s">
        <v>400</v>
      </c>
      <c r="D597" s="14">
        <v>23.479196814299339</v>
      </c>
      <c r="E597" s="14">
        <v>21.491154333430782</v>
      </c>
      <c r="F597" s="14">
        <v>44.165894067238483</v>
      </c>
      <c r="G597" s="14">
        <v>48.744124147470174</v>
      </c>
      <c r="H597" s="14">
        <v>57.702268194361366</v>
      </c>
      <c r="I597" s="14">
        <v>77.721862997742207</v>
      </c>
      <c r="J597" s="14">
        <v>87.560576611978277</v>
      </c>
    </row>
    <row r="598" spans="1:10" ht="15.75" x14ac:dyDescent="0.5">
      <c r="A598" s="13" t="s">
        <v>279</v>
      </c>
      <c r="B598" s="13" t="s">
        <v>407</v>
      </c>
      <c r="C598" s="13" t="s">
        <v>400</v>
      </c>
      <c r="D598" s="14" t="s">
        <v>250</v>
      </c>
      <c r="E598" s="14">
        <v>119.60789215447176</v>
      </c>
      <c r="F598" s="14">
        <v>134.12308101232617</v>
      </c>
      <c r="G598" s="14">
        <v>322.15716944276659</v>
      </c>
      <c r="H598" s="14">
        <v>428.7958267744396</v>
      </c>
      <c r="I598" s="14">
        <v>607.06731226780164</v>
      </c>
      <c r="J598" s="14">
        <v>706.7496839045042</v>
      </c>
    </row>
    <row r="599" spans="1:10" ht="15.75" x14ac:dyDescent="0.5">
      <c r="A599" s="13" t="s">
        <v>279</v>
      </c>
      <c r="B599" s="13" t="s">
        <v>408</v>
      </c>
      <c r="C599" s="13" t="s">
        <v>400</v>
      </c>
      <c r="D599" s="14">
        <v>46.892290321001234</v>
      </c>
      <c r="E599" s="14">
        <v>35.170923016767148</v>
      </c>
      <c r="F599" s="14">
        <v>31.900533386566725</v>
      </c>
      <c r="G599" s="14">
        <v>46.757191176706343</v>
      </c>
      <c r="H599" s="14">
        <v>46.352036546892478</v>
      </c>
      <c r="I599" s="14">
        <v>46.194022866771085</v>
      </c>
      <c r="J599" s="14">
        <v>47.057702102189879</v>
      </c>
    </row>
    <row r="600" spans="1:10" ht="15.75" x14ac:dyDescent="0.5">
      <c r="A600" s="13" t="s">
        <v>279</v>
      </c>
      <c r="B600" s="13" t="s">
        <v>409</v>
      </c>
      <c r="C600" s="13" t="s">
        <v>400</v>
      </c>
      <c r="D600" s="14">
        <v>18.365704270000034</v>
      </c>
      <c r="E600" s="14">
        <v>18.365704270000034</v>
      </c>
      <c r="F600" s="14">
        <v>18.36570427000003</v>
      </c>
      <c r="G600" s="14">
        <v>18.36570427000003</v>
      </c>
      <c r="H600" s="14">
        <v>18.365704270000037</v>
      </c>
      <c r="I600" s="14">
        <v>18.365704270000037</v>
      </c>
      <c r="J600" s="14">
        <v>18.365704270000041</v>
      </c>
    </row>
    <row r="601" spans="1:10" ht="15.75" x14ac:dyDescent="0.5">
      <c r="A601" s="13" t="s">
        <v>279</v>
      </c>
      <c r="B601" s="13" t="s">
        <v>410</v>
      </c>
      <c r="C601" s="13" t="s">
        <v>400</v>
      </c>
      <c r="D601" s="14">
        <v>245.79356253202218</v>
      </c>
      <c r="E601" s="14">
        <v>244.94230100044581</v>
      </c>
      <c r="F601" s="14">
        <v>246.12445039394572</v>
      </c>
      <c r="G601" s="14">
        <v>246.14973280241338</v>
      </c>
      <c r="H601" s="14">
        <v>246.14565135300859</v>
      </c>
      <c r="I601" s="14">
        <v>246.07579783920178</v>
      </c>
      <c r="J601" s="14">
        <v>246.16997594139139</v>
      </c>
    </row>
    <row r="602" spans="1:10" ht="15.75" x14ac:dyDescent="0.5">
      <c r="A602" s="13" t="s">
        <v>279</v>
      </c>
      <c r="B602" s="13" t="s">
        <v>411</v>
      </c>
      <c r="C602" s="13" t="s">
        <v>400</v>
      </c>
      <c r="D602" s="14">
        <v>7.139400000000018</v>
      </c>
      <c r="E602" s="14">
        <v>5.8253996654703695</v>
      </c>
      <c r="F602" s="14" t="s">
        <v>250</v>
      </c>
      <c r="G602" s="14" t="s">
        <v>250</v>
      </c>
      <c r="H602" s="14" t="s">
        <v>250</v>
      </c>
      <c r="I602" s="14" t="s">
        <v>250</v>
      </c>
      <c r="J602" s="14" t="s">
        <v>250</v>
      </c>
    </row>
    <row r="603" spans="1:10" ht="15.75" x14ac:dyDescent="0.5">
      <c r="A603" s="13" t="s">
        <v>279</v>
      </c>
      <c r="B603" s="13" t="s">
        <v>412</v>
      </c>
      <c r="C603" s="13" t="s">
        <v>400</v>
      </c>
      <c r="D603" s="14">
        <v>760.72545968400175</v>
      </c>
      <c r="E603" s="14">
        <v>747.66169166615657</v>
      </c>
      <c r="F603" s="14">
        <v>641.69004482641753</v>
      </c>
      <c r="G603" s="14">
        <v>713.01839820640464</v>
      </c>
      <c r="H603" s="14">
        <v>737.19757580144073</v>
      </c>
      <c r="I603" s="14">
        <v>781.84926869846208</v>
      </c>
      <c r="J603" s="14">
        <v>942.58904959138306</v>
      </c>
    </row>
    <row r="604" spans="1:10" ht="15.75" x14ac:dyDescent="0.5">
      <c r="A604" s="13" t="s">
        <v>279</v>
      </c>
      <c r="B604" s="13" t="s">
        <v>413</v>
      </c>
      <c r="C604" s="13" t="s">
        <v>400</v>
      </c>
      <c r="D604" s="14">
        <v>23.70292761988614</v>
      </c>
      <c r="E604" s="14">
        <v>20.619928429914474</v>
      </c>
      <c r="F604" s="14">
        <v>6.8683455562939635</v>
      </c>
      <c r="G604" s="14">
        <v>2.5924124494493705</v>
      </c>
      <c r="H604" s="14">
        <v>1.5302363239079686</v>
      </c>
      <c r="I604" s="14">
        <v>0.3181692859909091</v>
      </c>
      <c r="J604" s="14">
        <v>0.11225847892233384</v>
      </c>
    </row>
    <row r="605" spans="1:10" ht="15.75" x14ac:dyDescent="0.5">
      <c r="A605" s="13" t="s">
        <v>279</v>
      </c>
      <c r="B605" s="13" t="s">
        <v>414</v>
      </c>
      <c r="C605" s="13" t="s">
        <v>400</v>
      </c>
      <c r="D605" s="14">
        <v>0.68039077051095032</v>
      </c>
      <c r="E605" s="14">
        <v>25.077627588974263</v>
      </c>
      <c r="F605" s="14">
        <v>94.119120239750899</v>
      </c>
      <c r="G605" s="14">
        <v>188.50101009002418</v>
      </c>
      <c r="H605" s="14">
        <v>242.69662805921541</v>
      </c>
      <c r="I605" s="14">
        <v>243.31616329871619</v>
      </c>
      <c r="J605" s="14">
        <v>243.75868846978878</v>
      </c>
    </row>
    <row r="606" spans="1:10" ht="15.75" x14ac:dyDescent="0.5">
      <c r="A606" s="13" t="s">
        <v>279</v>
      </c>
      <c r="B606" s="13" t="s">
        <v>415</v>
      </c>
      <c r="C606" s="13" t="s">
        <v>400</v>
      </c>
      <c r="D606" s="14">
        <v>440.53124483255556</v>
      </c>
      <c r="E606" s="14">
        <v>866.70030080793208</v>
      </c>
      <c r="F606" s="14">
        <v>1338.243957963904</v>
      </c>
      <c r="G606" s="14">
        <v>1430.8435113261012</v>
      </c>
      <c r="H606" s="14">
        <v>1687.5502575748537</v>
      </c>
      <c r="I606" s="14">
        <v>2202.6012566226768</v>
      </c>
      <c r="J606" s="14">
        <v>2819.0806245759618</v>
      </c>
    </row>
    <row r="607" spans="1:10" ht="15.75" x14ac:dyDescent="0.5">
      <c r="A607" s="13" t="s">
        <v>279</v>
      </c>
      <c r="B607" s="13" t="s">
        <v>416</v>
      </c>
      <c r="C607" s="13" t="s">
        <v>400</v>
      </c>
      <c r="D607" s="14" t="s">
        <v>250</v>
      </c>
      <c r="E607" s="14">
        <v>54.174742594980984</v>
      </c>
      <c r="F607" s="14">
        <v>66.675949052097494</v>
      </c>
      <c r="G607" s="14">
        <v>76.801435170202126</v>
      </c>
      <c r="H607" s="14">
        <v>77.990654991853717</v>
      </c>
      <c r="I607" s="14">
        <v>82.683057309487666</v>
      </c>
      <c r="J607" s="14">
        <v>94.727837483420984</v>
      </c>
    </row>
    <row r="608" spans="1:10" ht="15.75" x14ac:dyDescent="0.5">
      <c r="A608" s="13" t="s">
        <v>279</v>
      </c>
      <c r="B608" s="13" t="s">
        <v>417</v>
      </c>
      <c r="C608" s="13" t="s">
        <v>400</v>
      </c>
      <c r="D608" s="14">
        <v>187.48709633408697</v>
      </c>
      <c r="E608" s="14">
        <v>301.27702622378933</v>
      </c>
      <c r="F608" s="14">
        <v>343.21071830874553</v>
      </c>
      <c r="G608" s="14">
        <v>401.88172544025713</v>
      </c>
      <c r="H608" s="14">
        <v>523.47365704588549</v>
      </c>
      <c r="I608" s="14">
        <v>1063.7317905695434</v>
      </c>
      <c r="J608" s="14">
        <v>1625.6409930759646</v>
      </c>
    </row>
    <row r="609" spans="1:10" ht="15.75" x14ac:dyDescent="0.5">
      <c r="A609" s="13" t="s">
        <v>279</v>
      </c>
      <c r="B609" s="13" t="s">
        <v>418</v>
      </c>
      <c r="C609" s="13" t="s">
        <v>400</v>
      </c>
      <c r="D609" s="14">
        <v>3.1841751731019534</v>
      </c>
      <c r="E609" s="14">
        <v>3.1841751731019534</v>
      </c>
      <c r="F609" s="14">
        <v>3.1841751731019534</v>
      </c>
      <c r="G609" s="14">
        <v>3.184175173101953</v>
      </c>
      <c r="H609" s="14">
        <v>3.184175173101953</v>
      </c>
      <c r="I609" s="14">
        <v>3.1841751731019534</v>
      </c>
      <c r="J609" s="14">
        <v>3.184175173101953</v>
      </c>
    </row>
    <row r="610" spans="1:10" ht="15.75" x14ac:dyDescent="0.5">
      <c r="A610" s="13" t="s">
        <v>279</v>
      </c>
      <c r="B610" s="13" t="s">
        <v>419</v>
      </c>
      <c r="C610" s="13" t="s">
        <v>400</v>
      </c>
      <c r="D610" s="14">
        <v>0.54465920264079493</v>
      </c>
      <c r="E610" s="14">
        <v>8.4188474797604513</v>
      </c>
      <c r="F610" s="14">
        <v>21.163034925252873</v>
      </c>
      <c r="G610" s="14">
        <v>24.783193909646343</v>
      </c>
      <c r="H610" s="14">
        <v>36.997528232468845</v>
      </c>
      <c r="I610" s="14">
        <v>90.084354872306051</v>
      </c>
      <c r="J610" s="14">
        <v>483.7309756183945</v>
      </c>
    </row>
    <row r="611" spans="1:10" ht="15.75" x14ac:dyDescent="0.5">
      <c r="A611" s="13" t="s">
        <v>279</v>
      </c>
      <c r="B611" s="13" t="s">
        <v>420</v>
      </c>
      <c r="C611" s="13" t="s">
        <v>400</v>
      </c>
      <c r="D611" s="14">
        <v>-13.98725295780835</v>
      </c>
      <c r="E611" s="14">
        <v>-13.924025605336295</v>
      </c>
      <c r="F611" s="14">
        <v>-13.777117312791585</v>
      </c>
      <c r="G611" s="14">
        <v>-12.039106332918937</v>
      </c>
      <c r="H611" s="14">
        <v>-13.792513244588942</v>
      </c>
      <c r="I611" s="14">
        <v>-15.023977103393506</v>
      </c>
      <c r="J611" s="14">
        <v>-12.293764437051426</v>
      </c>
    </row>
    <row r="612" spans="1:10" ht="15.75" x14ac:dyDescent="0.5">
      <c r="A612" s="13" t="s">
        <v>280</v>
      </c>
      <c r="B612" s="13" t="s">
        <v>399</v>
      </c>
      <c r="C612" s="13" t="s">
        <v>400</v>
      </c>
      <c r="D612" s="14">
        <v>7.249906462559788</v>
      </c>
      <c r="E612" s="14">
        <v>4.2389343065693544E-2</v>
      </c>
      <c r="F612" s="14">
        <v>0.51246000000000114</v>
      </c>
      <c r="G612" s="14">
        <v>2.2319037689242984</v>
      </c>
      <c r="H612" s="14">
        <v>4.1056678414790877</v>
      </c>
      <c r="I612" s="14">
        <v>3.8086097086753408</v>
      </c>
      <c r="J612" s="14">
        <v>2.7642487863131171</v>
      </c>
    </row>
    <row r="613" spans="1:10" ht="15.75" x14ac:dyDescent="0.5">
      <c r="A613" s="13" t="s">
        <v>280</v>
      </c>
      <c r="B613" s="13" t="s">
        <v>401</v>
      </c>
      <c r="C613" s="13" t="s">
        <v>400</v>
      </c>
      <c r="D613" s="14" t="s">
        <v>250</v>
      </c>
      <c r="E613" s="14" t="s">
        <v>250</v>
      </c>
      <c r="F613" s="14">
        <v>152.59761986179848</v>
      </c>
      <c r="G613" s="14">
        <v>152.59761986179848</v>
      </c>
      <c r="H613" s="14">
        <v>34.125030612810711</v>
      </c>
      <c r="I613" s="14">
        <v>31.131048394323123</v>
      </c>
      <c r="J613" s="14" t="s">
        <v>250</v>
      </c>
    </row>
    <row r="614" spans="1:10" ht="15.75" x14ac:dyDescent="0.5">
      <c r="A614" s="13" t="s">
        <v>280</v>
      </c>
      <c r="B614" s="13" t="s">
        <v>402</v>
      </c>
      <c r="C614" s="13" t="s">
        <v>400</v>
      </c>
      <c r="D614" s="14">
        <v>1072.9916742877465</v>
      </c>
      <c r="E614" s="14">
        <v>404.62289512850521</v>
      </c>
      <c r="F614" s="14">
        <v>158.31246113093715</v>
      </c>
      <c r="G614" s="14">
        <v>112.29695877597526</v>
      </c>
      <c r="H614" s="14">
        <v>78.951697502731804</v>
      </c>
      <c r="I614" s="14">
        <v>29.222390493252114</v>
      </c>
      <c r="J614" s="14" t="s">
        <v>250</v>
      </c>
    </row>
    <row r="615" spans="1:10" ht="15.75" x14ac:dyDescent="0.5">
      <c r="A615" s="13" t="s">
        <v>280</v>
      </c>
      <c r="B615" s="13" t="s">
        <v>403</v>
      </c>
      <c r="C615" s="13" t="s">
        <v>400</v>
      </c>
      <c r="D615" s="14" t="s">
        <v>250</v>
      </c>
      <c r="E615" s="14" t="s">
        <v>250</v>
      </c>
      <c r="F615" s="14">
        <v>111.7439539081022</v>
      </c>
      <c r="G615" s="14">
        <v>111.74395390810217</v>
      </c>
      <c r="H615" s="14">
        <v>22.602581434643014</v>
      </c>
      <c r="I615" s="14">
        <v>29.18798268429288</v>
      </c>
      <c r="J615" s="14" t="s">
        <v>250</v>
      </c>
    </row>
    <row r="616" spans="1:10" ht="15.75" x14ac:dyDescent="0.5">
      <c r="A616" s="13" t="s">
        <v>280</v>
      </c>
      <c r="B616" s="13" t="s">
        <v>404</v>
      </c>
      <c r="C616" s="13" t="s">
        <v>400</v>
      </c>
      <c r="D616" s="14" t="s">
        <v>250</v>
      </c>
      <c r="E616" s="14" t="s">
        <v>250</v>
      </c>
      <c r="F616" s="14" t="s">
        <v>250</v>
      </c>
      <c r="G616" s="14" t="s">
        <v>250</v>
      </c>
      <c r="H616" s="14" t="s">
        <v>250</v>
      </c>
      <c r="I616" s="14">
        <v>1.68367048866638</v>
      </c>
      <c r="J616" s="14">
        <v>24.237782958572719</v>
      </c>
    </row>
    <row r="617" spans="1:10" ht="15.75" x14ac:dyDescent="0.5">
      <c r="A617" s="13" t="s">
        <v>280</v>
      </c>
      <c r="B617" s="13" t="s">
        <v>421</v>
      </c>
      <c r="C617" s="13" t="s">
        <v>400</v>
      </c>
      <c r="D617" s="14" t="s">
        <v>250</v>
      </c>
      <c r="E617" s="14" t="s">
        <v>250</v>
      </c>
      <c r="F617" s="14" t="s">
        <v>250</v>
      </c>
      <c r="G617" s="14">
        <v>642.60034196679885</v>
      </c>
      <c r="H617" s="14">
        <v>1732.7642125203579</v>
      </c>
      <c r="I617" s="14">
        <v>1733.3947216413733</v>
      </c>
      <c r="J617" s="14">
        <v>296.22287007714215</v>
      </c>
    </row>
    <row r="618" spans="1:10" ht="15.75" x14ac:dyDescent="0.5">
      <c r="A618" s="13" t="s">
        <v>280</v>
      </c>
      <c r="B618" s="13" t="s">
        <v>405</v>
      </c>
      <c r="C618" s="13" t="s">
        <v>400</v>
      </c>
      <c r="D618" s="14">
        <v>1259.3891290889944</v>
      </c>
      <c r="E618" s="14">
        <v>1333.8933060561558</v>
      </c>
      <c r="F618" s="14">
        <v>1324.522305362259</v>
      </c>
      <c r="G618" s="14">
        <v>1240.7521743182233</v>
      </c>
      <c r="H618" s="14">
        <v>891.17013681124217</v>
      </c>
      <c r="I618" s="14">
        <v>506.23753247572171</v>
      </c>
      <c r="J618" s="14">
        <v>176.83316694737749</v>
      </c>
    </row>
    <row r="619" spans="1:10" ht="15.75" x14ac:dyDescent="0.5">
      <c r="A619" s="13" t="s">
        <v>280</v>
      </c>
      <c r="B619" s="13" t="s">
        <v>406</v>
      </c>
      <c r="C619" s="13" t="s">
        <v>400</v>
      </c>
      <c r="D619" s="14">
        <v>23.479196814299332</v>
      </c>
      <c r="E619" s="14">
        <v>21.807876791873035</v>
      </c>
      <c r="F619" s="14">
        <v>44.699642431418319</v>
      </c>
      <c r="G619" s="14">
        <v>49.765518924162919</v>
      </c>
      <c r="H619" s="14">
        <v>60.034357194823563</v>
      </c>
      <c r="I619" s="14">
        <v>78.238225423417632</v>
      </c>
      <c r="J619" s="14">
        <v>100.28165933009385</v>
      </c>
    </row>
    <row r="620" spans="1:10" ht="15.75" x14ac:dyDescent="0.5">
      <c r="A620" s="13" t="s">
        <v>280</v>
      </c>
      <c r="B620" s="13" t="s">
        <v>407</v>
      </c>
      <c r="C620" s="13" t="s">
        <v>400</v>
      </c>
      <c r="D620" s="14" t="s">
        <v>250</v>
      </c>
      <c r="E620" s="14">
        <v>117.93743600552165</v>
      </c>
      <c r="F620" s="14">
        <v>133.70456899756945</v>
      </c>
      <c r="G620" s="14">
        <v>329.4022287668754</v>
      </c>
      <c r="H620" s="14">
        <v>443.29466618899386</v>
      </c>
      <c r="I620" s="14">
        <v>566.41111473919545</v>
      </c>
      <c r="J620" s="14">
        <v>501.34391057973005</v>
      </c>
    </row>
    <row r="621" spans="1:10" ht="15.75" x14ac:dyDescent="0.5">
      <c r="A621" s="13" t="s">
        <v>280</v>
      </c>
      <c r="B621" s="13" t="s">
        <v>408</v>
      </c>
      <c r="C621" s="13" t="s">
        <v>400</v>
      </c>
      <c r="D621" s="14">
        <v>46.892290321001241</v>
      </c>
      <c r="E621" s="14">
        <v>35.171555413110113</v>
      </c>
      <c r="F621" s="14">
        <v>31.997339447638122</v>
      </c>
      <c r="G621" s="14">
        <v>46.801710578220614</v>
      </c>
      <c r="H621" s="14">
        <v>46.49997667635968</v>
      </c>
      <c r="I621" s="14">
        <v>46.623161725161332</v>
      </c>
      <c r="J621" s="14">
        <v>44.252737850677107</v>
      </c>
    </row>
    <row r="622" spans="1:10" ht="15.75" x14ac:dyDescent="0.5">
      <c r="A622" s="13" t="s">
        <v>280</v>
      </c>
      <c r="B622" s="13" t="s">
        <v>409</v>
      </c>
      <c r="C622" s="13" t="s">
        <v>400</v>
      </c>
      <c r="D622" s="14">
        <v>18.365704270000034</v>
      </c>
      <c r="E622" s="14">
        <v>18.36570427000003</v>
      </c>
      <c r="F622" s="14">
        <v>18.365704270000034</v>
      </c>
      <c r="G622" s="14">
        <v>18.365704270000034</v>
      </c>
      <c r="H622" s="14">
        <v>18.365704270000034</v>
      </c>
      <c r="I622" s="14">
        <v>18.365704270000034</v>
      </c>
      <c r="J622" s="14">
        <v>18.36570427000003</v>
      </c>
    </row>
    <row r="623" spans="1:10" ht="15.75" x14ac:dyDescent="0.5">
      <c r="A623" s="13" t="s">
        <v>280</v>
      </c>
      <c r="B623" s="13" t="s">
        <v>410</v>
      </c>
      <c r="C623" s="13" t="s">
        <v>400</v>
      </c>
      <c r="D623" s="14">
        <v>245.79356253202218</v>
      </c>
      <c r="E623" s="14">
        <v>244.93254518064998</v>
      </c>
      <c r="F623" s="14">
        <v>246.12445039394581</v>
      </c>
      <c r="G623" s="14">
        <v>246.16953280253389</v>
      </c>
      <c r="H623" s="14">
        <v>246.09463345963945</v>
      </c>
      <c r="I623" s="14">
        <v>246.08288169776259</v>
      </c>
      <c r="J623" s="14">
        <v>246.14974236484983</v>
      </c>
    </row>
    <row r="624" spans="1:10" ht="15.75" x14ac:dyDescent="0.5">
      <c r="A624" s="13" t="s">
        <v>280</v>
      </c>
      <c r="B624" s="13" t="s">
        <v>411</v>
      </c>
      <c r="C624" s="13" t="s">
        <v>400</v>
      </c>
      <c r="D624" s="14">
        <v>7.1394000000000153</v>
      </c>
      <c r="E624" s="14">
        <v>5.8260569343065836</v>
      </c>
      <c r="F624" s="14" t="s">
        <v>250</v>
      </c>
      <c r="G624" s="14" t="s">
        <v>250</v>
      </c>
      <c r="H624" s="14" t="s">
        <v>250</v>
      </c>
      <c r="I624" s="14" t="s">
        <v>250</v>
      </c>
      <c r="J624" s="14" t="s">
        <v>250</v>
      </c>
    </row>
    <row r="625" spans="1:10" ht="15.75" x14ac:dyDescent="0.5">
      <c r="A625" s="13" t="s">
        <v>280</v>
      </c>
      <c r="B625" s="13" t="s">
        <v>412</v>
      </c>
      <c r="C625" s="13" t="s">
        <v>400</v>
      </c>
      <c r="D625" s="14">
        <v>760.72545968400186</v>
      </c>
      <c r="E625" s="14">
        <v>747.65970650120198</v>
      </c>
      <c r="F625" s="14">
        <v>641.31851632075359</v>
      </c>
      <c r="G625" s="14">
        <v>713.84038997894197</v>
      </c>
      <c r="H625" s="14">
        <v>771.9575283418751</v>
      </c>
      <c r="I625" s="14">
        <v>1058.3811236365163</v>
      </c>
      <c r="J625" s="14">
        <v>3075.7891739591205</v>
      </c>
    </row>
    <row r="626" spans="1:10" ht="15.75" x14ac:dyDescent="0.5">
      <c r="A626" s="13" t="s">
        <v>280</v>
      </c>
      <c r="B626" s="13" t="s">
        <v>413</v>
      </c>
      <c r="C626" s="13" t="s">
        <v>400</v>
      </c>
      <c r="D626" s="14">
        <v>23.70292761988614</v>
      </c>
      <c r="E626" s="14">
        <v>20.749869630567098</v>
      </c>
      <c r="F626" s="14">
        <v>6.9832709866486731</v>
      </c>
      <c r="G626" s="14">
        <v>2.8962988368225981</v>
      </c>
      <c r="H626" s="14">
        <v>1.5276765714250913</v>
      </c>
      <c r="I626" s="14">
        <v>0.66230879156273126</v>
      </c>
      <c r="J626" s="14">
        <v>5.9597080291970833E-3</v>
      </c>
    </row>
    <row r="627" spans="1:10" ht="15.75" x14ac:dyDescent="0.5">
      <c r="A627" s="13" t="s">
        <v>280</v>
      </c>
      <c r="B627" s="13" t="s">
        <v>414</v>
      </c>
      <c r="C627" s="13" t="s">
        <v>400</v>
      </c>
      <c r="D627" s="14">
        <v>0.6803907705109502</v>
      </c>
      <c r="E627" s="14">
        <v>25.0746021917234</v>
      </c>
      <c r="F627" s="14">
        <v>94.110704509374898</v>
      </c>
      <c r="G627" s="14">
        <v>188.5005238102176</v>
      </c>
      <c r="H627" s="14">
        <v>242.69613995014308</v>
      </c>
      <c r="I627" s="14">
        <v>243.31567376688164</v>
      </c>
      <c r="J627" s="14">
        <v>243.7581979216954</v>
      </c>
    </row>
    <row r="628" spans="1:10" ht="15.75" x14ac:dyDescent="0.5">
      <c r="A628" s="13" t="s">
        <v>280</v>
      </c>
      <c r="B628" s="13" t="s">
        <v>415</v>
      </c>
      <c r="C628" s="13" t="s">
        <v>400</v>
      </c>
      <c r="D628" s="14">
        <v>440.53124483255567</v>
      </c>
      <c r="E628" s="14">
        <v>866.70030080793185</v>
      </c>
      <c r="F628" s="14">
        <v>1338.3730777630012</v>
      </c>
      <c r="G628" s="14">
        <v>1432.5035894078053</v>
      </c>
      <c r="H628" s="14">
        <v>1691.044749042394</v>
      </c>
      <c r="I628" s="14">
        <v>2050.9636462655026</v>
      </c>
      <c r="J628" s="14">
        <v>2196.9990321962723</v>
      </c>
    </row>
    <row r="629" spans="1:10" ht="15.75" x14ac:dyDescent="0.5">
      <c r="A629" s="13" t="s">
        <v>280</v>
      </c>
      <c r="B629" s="13" t="s">
        <v>416</v>
      </c>
      <c r="C629" s="13" t="s">
        <v>400</v>
      </c>
      <c r="D629" s="14" t="s">
        <v>250</v>
      </c>
      <c r="E629" s="14">
        <v>54.174742594980991</v>
      </c>
      <c r="F629" s="14">
        <v>66.675949052097508</v>
      </c>
      <c r="G629" s="14">
        <v>76.801435170202083</v>
      </c>
      <c r="H629" s="14">
        <v>77.990654991853717</v>
      </c>
      <c r="I629" s="14">
        <v>82.683057309487609</v>
      </c>
      <c r="J629" s="14">
        <v>94.72783748342097</v>
      </c>
    </row>
    <row r="630" spans="1:10" ht="15.75" x14ac:dyDescent="0.5">
      <c r="A630" s="13" t="s">
        <v>280</v>
      </c>
      <c r="B630" s="13" t="s">
        <v>417</v>
      </c>
      <c r="C630" s="13" t="s">
        <v>400</v>
      </c>
      <c r="D630" s="14">
        <v>187.48709633408686</v>
      </c>
      <c r="E630" s="14">
        <v>301.27702622378939</v>
      </c>
      <c r="F630" s="14">
        <v>343.25857351540873</v>
      </c>
      <c r="G630" s="14">
        <v>403.93524027387059</v>
      </c>
      <c r="H630" s="14">
        <v>548.34544752867782</v>
      </c>
      <c r="I630" s="14">
        <v>1069.0489349405896</v>
      </c>
      <c r="J630" s="14">
        <v>1363.6556741608138</v>
      </c>
    </row>
    <row r="631" spans="1:10" ht="15.75" x14ac:dyDescent="0.5">
      <c r="A631" s="13" t="s">
        <v>280</v>
      </c>
      <c r="B631" s="13" t="s">
        <v>418</v>
      </c>
      <c r="C631" s="13" t="s">
        <v>400</v>
      </c>
      <c r="D631" s="14">
        <v>3.1841751731019539</v>
      </c>
      <c r="E631" s="14">
        <v>3.1841751731019539</v>
      </c>
      <c r="F631" s="14">
        <v>3.184175173101953</v>
      </c>
      <c r="G631" s="14">
        <v>3.1841751731019539</v>
      </c>
      <c r="H631" s="14">
        <v>3.1841751731019534</v>
      </c>
      <c r="I631" s="14">
        <v>3.1841751731019534</v>
      </c>
      <c r="J631" s="14">
        <v>3.184175173101953</v>
      </c>
    </row>
    <row r="632" spans="1:10" ht="15.75" x14ac:dyDescent="0.5">
      <c r="A632" s="13" t="s">
        <v>280</v>
      </c>
      <c r="B632" s="13" t="s">
        <v>419</v>
      </c>
      <c r="C632" s="13" t="s">
        <v>400</v>
      </c>
      <c r="D632" s="14">
        <v>0.54465920264079504</v>
      </c>
      <c r="E632" s="14">
        <v>8.4119658558819737</v>
      </c>
      <c r="F632" s="14">
        <v>21.149763735015316</v>
      </c>
      <c r="G632" s="14">
        <v>26.104534704376402</v>
      </c>
      <c r="H632" s="14">
        <v>37.457318590372417</v>
      </c>
      <c r="I632" s="14">
        <v>64.944459692016693</v>
      </c>
      <c r="J632" s="14">
        <v>113.22578104653211</v>
      </c>
    </row>
    <row r="633" spans="1:10" ht="15.75" x14ac:dyDescent="0.5">
      <c r="A633" s="13" t="s">
        <v>280</v>
      </c>
      <c r="B633" s="13" t="s">
        <v>420</v>
      </c>
      <c r="C633" s="13" t="s">
        <v>400</v>
      </c>
      <c r="D633" s="14">
        <v>-13.987252957808423</v>
      </c>
      <c r="E633" s="14">
        <v>-13.962344446788133</v>
      </c>
      <c r="F633" s="14">
        <v>-13.952747922760427</v>
      </c>
      <c r="G633" s="14">
        <v>-11.695813366969919</v>
      </c>
      <c r="H633" s="14">
        <v>-12.999592278242904</v>
      </c>
      <c r="I633" s="14">
        <v>-15.454268315072158</v>
      </c>
      <c r="J633" s="14">
        <v>-16.252078071908301</v>
      </c>
    </row>
    <row r="634" spans="1:10" ht="15.75" x14ac:dyDescent="0.5">
      <c r="A634" s="13" t="s">
        <v>281</v>
      </c>
      <c r="B634" s="13" t="s">
        <v>399</v>
      </c>
      <c r="C634" s="13" t="s">
        <v>400</v>
      </c>
      <c r="D634" s="14">
        <v>7.2499064625597898</v>
      </c>
      <c r="E634" s="14">
        <v>0.29730534306569406</v>
      </c>
      <c r="F634" s="14">
        <v>0.51246000000000103</v>
      </c>
      <c r="G634" s="14">
        <v>2.3513799600779515</v>
      </c>
      <c r="H634" s="14">
        <v>2.9206260523060257</v>
      </c>
      <c r="I634" s="14">
        <v>1.3354849927007328</v>
      </c>
      <c r="J634" s="14">
        <v>0.78829725547445473</v>
      </c>
    </row>
    <row r="635" spans="1:10" ht="15.75" x14ac:dyDescent="0.5">
      <c r="A635" s="13" t="s">
        <v>281</v>
      </c>
      <c r="B635" s="13" t="s">
        <v>401</v>
      </c>
      <c r="C635" s="13" t="s">
        <v>400</v>
      </c>
      <c r="D635" s="14" t="s">
        <v>250</v>
      </c>
      <c r="E635" s="14" t="s">
        <v>250</v>
      </c>
      <c r="F635" s="14">
        <v>170.76113187134504</v>
      </c>
      <c r="G635" s="14">
        <v>170.76113187134516</v>
      </c>
      <c r="H635" s="14">
        <v>34.097819274045534</v>
      </c>
      <c r="I635" s="14">
        <v>23.742065510446302</v>
      </c>
      <c r="J635" s="14" t="s">
        <v>250</v>
      </c>
    </row>
    <row r="636" spans="1:10" ht="15.75" x14ac:dyDescent="0.5">
      <c r="A636" s="13" t="s">
        <v>281</v>
      </c>
      <c r="B636" s="13" t="s">
        <v>402</v>
      </c>
      <c r="C636" s="13" t="s">
        <v>400</v>
      </c>
      <c r="D636" s="14">
        <v>1072.9916742877465</v>
      </c>
      <c r="E636" s="14">
        <v>401.75126275329603</v>
      </c>
      <c r="F636" s="14">
        <v>139.96322632034165</v>
      </c>
      <c r="G636" s="14">
        <v>84.695367656716371</v>
      </c>
      <c r="H636" s="14">
        <v>62.16414373281571</v>
      </c>
      <c r="I636" s="14">
        <v>44.011590221301091</v>
      </c>
      <c r="J636" s="14" t="s">
        <v>250</v>
      </c>
    </row>
    <row r="637" spans="1:10" ht="15.75" x14ac:dyDescent="0.5">
      <c r="A637" s="13" t="s">
        <v>281</v>
      </c>
      <c r="B637" s="13" t="s">
        <v>403</v>
      </c>
      <c r="C637" s="13" t="s">
        <v>400</v>
      </c>
      <c r="D637" s="14" t="s">
        <v>250</v>
      </c>
      <c r="E637" s="14" t="s">
        <v>250</v>
      </c>
      <c r="F637" s="14">
        <v>192.42039716503001</v>
      </c>
      <c r="G637" s="14">
        <v>192.42039716503001</v>
      </c>
      <c r="H637" s="14">
        <v>39.439851000418628</v>
      </c>
      <c r="I637" s="14">
        <v>39.171422931656778</v>
      </c>
      <c r="J637" s="14" t="s">
        <v>250</v>
      </c>
    </row>
    <row r="638" spans="1:10" ht="15.75" x14ac:dyDescent="0.5">
      <c r="A638" s="13" t="s">
        <v>281</v>
      </c>
      <c r="B638" s="13" t="s">
        <v>404</v>
      </c>
      <c r="C638" s="13" t="s">
        <v>400</v>
      </c>
      <c r="D638" s="14" t="s">
        <v>250</v>
      </c>
      <c r="E638" s="14" t="s">
        <v>250</v>
      </c>
      <c r="F638" s="14" t="s">
        <v>250</v>
      </c>
      <c r="G638" s="14" t="s">
        <v>250</v>
      </c>
      <c r="H638" s="14" t="s">
        <v>250</v>
      </c>
      <c r="I638" s="14">
        <v>0.33069896914528535</v>
      </c>
      <c r="J638" s="14">
        <v>12.105550056922668</v>
      </c>
    </row>
    <row r="639" spans="1:10" ht="15.75" x14ac:dyDescent="0.5">
      <c r="A639" s="13" t="s">
        <v>281</v>
      </c>
      <c r="B639" s="13" t="s">
        <v>421</v>
      </c>
      <c r="C639" s="13" t="s">
        <v>400</v>
      </c>
      <c r="D639" s="14" t="s">
        <v>250</v>
      </c>
      <c r="E639" s="14" t="s">
        <v>250</v>
      </c>
      <c r="F639" s="14" t="s">
        <v>250</v>
      </c>
      <c r="G639" s="14">
        <v>57.414551088812097</v>
      </c>
      <c r="H639" s="14">
        <v>155.13867404342713</v>
      </c>
      <c r="I639" s="14">
        <v>154.04848495934135</v>
      </c>
      <c r="J639" s="14">
        <v>31.646291325554504</v>
      </c>
    </row>
    <row r="640" spans="1:10" ht="15.75" x14ac:dyDescent="0.5">
      <c r="A640" s="13" t="s">
        <v>281</v>
      </c>
      <c r="B640" s="13" t="s">
        <v>405</v>
      </c>
      <c r="C640" s="13" t="s">
        <v>400</v>
      </c>
      <c r="D640" s="14">
        <v>1259.389129088994</v>
      </c>
      <c r="E640" s="14">
        <v>1333.396931020618</v>
      </c>
      <c r="F640" s="14">
        <v>1257.9615923693332</v>
      </c>
      <c r="G640" s="14">
        <v>1320.0842322893473</v>
      </c>
      <c r="H640" s="14">
        <v>1000.760283833224</v>
      </c>
      <c r="I640" s="14">
        <v>542.30981559525776</v>
      </c>
      <c r="J640" s="14">
        <v>165.75315506504069</v>
      </c>
    </row>
    <row r="641" spans="1:10" ht="15.75" x14ac:dyDescent="0.5">
      <c r="A641" s="13" t="s">
        <v>281</v>
      </c>
      <c r="B641" s="13" t="s">
        <v>406</v>
      </c>
      <c r="C641" s="13" t="s">
        <v>400</v>
      </c>
      <c r="D641" s="14">
        <v>23.479196814299328</v>
      </c>
      <c r="E641" s="14">
        <v>21.025075936949808</v>
      </c>
      <c r="F641" s="14">
        <v>43.632222119599639</v>
      </c>
      <c r="G641" s="14">
        <v>50.547864983279723</v>
      </c>
      <c r="H641" s="14">
        <v>57.617764837116248</v>
      </c>
      <c r="I641" s="14">
        <v>64.513294477154915</v>
      </c>
      <c r="J641" s="14">
        <v>117.27428992560949</v>
      </c>
    </row>
    <row r="642" spans="1:10" ht="15.75" x14ac:dyDescent="0.5">
      <c r="A642" s="13" t="s">
        <v>281</v>
      </c>
      <c r="B642" s="13" t="s">
        <v>407</v>
      </c>
      <c r="C642" s="13" t="s">
        <v>400</v>
      </c>
      <c r="D642" s="14" t="s">
        <v>250</v>
      </c>
      <c r="E642" s="14">
        <v>118.4022023847005</v>
      </c>
      <c r="F642" s="14">
        <v>111.98079461368511</v>
      </c>
      <c r="G642" s="14">
        <v>376.25328376776514</v>
      </c>
      <c r="H642" s="14">
        <v>299.52548336695264</v>
      </c>
      <c r="I642" s="14">
        <v>139.53317084143021</v>
      </c>
      <c r="J642" s="14">
        <v>117.07847264362351</v>
      </c>
    </row>
    <row r="643" spans="1:10" ht="15.75" x14ac:dyDescent="0.5">
      <c r="A643" s="13" t="s">
        <v>281</v>
      </c>
      <c r="B643" s="13" t="s">
        <v>408</v>
      </c>
      <c r="C643" s="13" t="s">
        <v>400</v>
      </c>
      <c r="D643" s="14">
        <v>46.892290321001234</v>
      </c>
      <c r="E643" s="14">
        <v>35.132665988043811</v>
      </c>
      <c r="F643" s="14">
        <v>31.186125876508935</v>
      </c>
      <c r="G643" s="14">
        <v>46.991218880624707</v>
      </c>
      <c r="H643" s="14">
        <v>44.908062281262978</v>
      </c>
      <c r="I643" s="14">
        <v>43.213795122096627</v>
      </c>
      <c r="J643" s="14">
        <v>32.388936398775343</v>
      </c>
    </row>
    <row r="644" spans="1:10" ht="15.75" x14ac:dyDescent="0.5">
      <c r="A644" s="13" t="s">
        <v>281</v>
      </c>
      <c r="B644" s="13" t="s">
        <v>409</v>
      </c>
      <c r="C644" s="13" t="s">
        <v>400</v>
      </c>
      <c r="D644" s="14">
        <v>18.365704270000034</v>
      </c>
      <c r="E644" s="14">
        <v>18.365704270000034</v>
      </c>
      <c r="F644" s="14">
        <v>18.365704270000034</v>
      </c>
      <c r="G644" s="14">
        <v>18.365704270000034</v>
      </c>
      <c r="H644" s="14">
        <v>18.36570427000003</v>
      </c>
      <c r="I644" s="14">
        <v>18.365704270000034</v>
      </c>
      <c r="J644" s="14">
        <v>18.365704270000037</v>
      </c>
    </row>
    <row r="645" spans="1:10" ht="15.75" x14ac:dyDescent="0.5">
      <c r="A645" s="13" t="s">
        <v>281</v>
      </c>
      <c r="B645" s="13" t="s">
        <v>410</v>
      </c>
      <c r="C645" s="13" t="s">
        <v>400</v>
      </c>
      <c r="D645" s="14">
        <v>245.79356253202209</v>
      </c>
      <c r="E645" s="14">
        <v>244.97959531009818</v>
      </c>
      <c r="F645" s="14">
        <v>246.10481071964941</v>
      </c>
      <c r="G645" s="14">
        <v>246.12949922577059</v>
      </c>
      <c r="H645" s="14">
        <v>246.14992547175532</v>
      </c>
      <c r="I645" s="14">
        <v>246.1695328024116</v>
      </c>
      <c r="J645" s="14">
        <v>246.16917280241302</v>
      </c>
    </row>
    <row r="646" spans="1:10" ht="15.75" x14ac:dyDescent="0.5">
      <c r="A646" s="13" t="s">
        <v>281</v>
      </c>
      <c r="B646" s="13" t="s">
        <v>411</v>
      </c>
      <c r="C646" s="13" t="s">
        <v>400</v>
      </c>
      <c r="D646" s="14">
        <v>7.1394000000000162</v>
      </c>
      <c r="E646" s="14">
        <v>5.8260569343065836</v>
      </c>
      <c r="F646" s="14" t="s">
        <v>250</v>
      </c>
      <c r="G646" s="14" t="s">
        <v>250</v>
      </c>
      <c r="H646" s="14" t="s">
        <v>250</v>
      </c>
      <c r="I646" s="14" t="s">
        <v>250</v>
      </c>
      <c r="J646" s="14" t="s">
        <v>250</v>
      </c>
    </row>
    <row r="647" spans="1:10" ht="15.75" x14ac:dyDescent="0.5">
      <c r="A647" s="13" t="s">
        <v>281</v>
      </c>
      <c r="B647" s="13" t="s">
        <v>412</v>
      </c>
      <c r="C647" s="13" t="s">
        <v>400</v>
      </c>
      <c r="D647" s="14">
        <v>760.72545968400163</v>
      </c>
      <c r="E647" s="14">
        <v>754.90904969411827</v>
      </c>
      <c r="F647" s="14">
        <v>675.84440150036914</v>
      </c>
      <c r="G647" s="14">
        <v>1168.8434932418893</v>
      </c>
      <c r="H647" s="14">
        <v>2742.645815887618</v>
      </c>
      <c r="I647" s="14">
        <v>4164.208679628613</v>
      </c>
      <c r="J647" s="14">
        <v>5139.5165031018423</v>
      </c>
    </row>
    <row r="648" spans="1:10" ht="15.75" x14ac:dyDescent="0.5">
      <c r="A648" s="13" t="s">
        <v>281</v>
      </c>
      <c r="B648" s="13" t="s">
        <v>413</v>
      </c>
      <c r="C648" s="13" t="s">
        <v>400</v>
      </c>
      <c r="D648" s="14">
        <v>23.702927619886133</v>
      </c>
      <c r="E648" s="14">
        <v>20.640766396322654</v>
      </c>
      <c r="F648" s="14">
        <v>6.3917013697616261</v>
      </c>
      <c r="G648" s="14">
        <v>3.1140893541043853</v>
      </c>
      <c r="H648" s="14">
        <v>1.9157807749566924</v>
      </c>
      <c r="I648" s="14">
        <v>0.55047241569017502</v>
      </c>
      <c r="J648" s="14" t="s">
        <v>250</v>
      </c>
    </row>
    <row r="649" spans="1:10" ht="15.75" x14ac:dyDescent="0.5">
      <c r="A649" s="13" t="s">
        <v>281</v>
      </c>
      <c r="B649" s="13" t="s">
        <v>414</v>
      </c>
      <c r="C649" s="13" t="s">
        <v>400</v>
      </c>
      <c r="D649" s="14">
        <v>0.6803907705109502</v>
      </c>
      <c r="E649" s="14">
        <v>25.077100697322429</v>
      </c>
      <c r="F649" s="14">
        <v>94.595829514921448</v>
      </c>
      <c r="G649" s="14">
        <v>188.55047466933658</v>
      </c>
      <c r="H649" s="14">
        <v>240.61913980619636</v>
      </c>
      <c r="I649" s="14">
        <v>241.23261948968167</v>
      </c>
      <c r="J649" s="14">
        <v>241.67081926360032</v>
      </c>
    </row>
    <row r="650" spans="1:10" ht="15.75" x14ac:dyDescent="0.5">
      <c r="A650" s="13" t="s">
        <v>281</v>
      </c>
      <c r="B650" s="13" t="s">
        <v>415</v>
      </c>
      <c r="C650" s="13" t="s">
        <v>400</v>
      </c>
      <c r="D650" s="14">
        <v>440.53124483255567</v>
      </c>
      <c r="E650" s="14">
        <v>864.44088138649624</v>
      </c>
      <c r="F650" s="14">
        <v>1317.2236120652856</v>
      </c>
      <c r="G650" s="14">
        <v>1370.1667884467142</v>
      </c>
      <c r="H650" s="14">
        <v>1442.6657364347125</v>
      </c>
      <c r="I650" s="14">
        <v>1471.7556673447884</v>
      </c>
      <c r="J650" s="14">
        <v>1476.4686881069583</v>
      </c>
    </row>
    <row r="651" spans="1:10" ht="15.75" x14ac:dyDescent="0.5">
      <c r="A651" s="13" t="s">
        <v>281</v>
      </c>
      <c r="B651" s="13" t="s">
        <v>416</v>
      </c>
      <c r="C651" s="13" t="s">
        <v>400</v>
      </c>
      <c r="D651" s="14" t="s">
        <v>250</v>
      </c>
      <c r="E651" s="14">
        <v>54.174742594981019</v>
      </c>
      <c r="F651" s="14">
        <v>66.675949052097479</v>
      </c>
      <c r="G651" s="14">
        <v>76.801435170202126</v>
      </c>
      <c r="H651" s="14">
        <v>77.990654991853773</v>
      </c>
      <c r="I651" s="14">
        <v>82.683057309487623</v>
      </c>
      <c r="J651" s="14">
        <v>94.727837483420927</v>
      </c>
    </row>
    <row r="652" spans="1:10" ht="15.75" x14ac:dyDescent="0.5">
      <c r="A652" s="13" t="s">
        <v>281</v>
      </c>
      <c r="B652" s="13" t="s">
        <v>417</v>
      </c>
      <c r="C652" s="13" t="s">
        <v>400</v>
      </c>
      <c r="D652" s="14">
        <v>187.48709633408694</v>
      </c>
      <c r="E652" s="14">
        <v>301.28762495502025</v>
      </c>
      <c r="F652" s="14">
        <v>343.42643396358568</v>
      </c>
      <c r="G652" s="14">
        <v>389.29228901062595</v>
      </c>
      <c r="H652" s="14">
        <v>442.86708406817877</v>
      </c>
      <c r="I652" s="14">
        <v>542.18770130468988</v>
      </c>
      <c r="J652" s="14">
        <v>689.96713584612201</v>
      </c>
    </row>
    <row r="653" spans="1:10" ht="15.75" x14ac:dyDescent="0.5">
      <c r="A653" s="13" t="s">
        <v>281</v>
      </c>
      <c r="B653" s="13" t="s">
        <v>418</v>
      </c>
      <c r="C653" s="13" t="s">
        <v>400</v>
      </c>
      <c r="D653" s="14">
        <v>3.1841751731019539</v>
      </c>
      <c r="E653" s="14">
        <v>3.184175173101953</v>
      </c>
      <c r="F653" s="14">
        <v>3.184175173101953</v>
      </c>
      <c r="G653" s="14">
        <v>3.1841751731019534</v>
      </c>
      <c r="H653" s="14">
        <v>3.1841751731019534</v>
      </c>
      <c r="I653" s="14">
        <v>3.184175173101953</v>
      </c>
      <c r="J653" s="14">
        <v>3.1841751731019534</v>
      </c>
    </row>
    <row r="654" spans="1:10" ht="15.75" x14ac:dyDescent="0.5">
      <c r="A654" s="13" t="s">
        <v>281</v>
      </c>
      <c r="B654" s="13" t="s">
        <v>419</v>
      </c>
      <c r="C654" s="13" t="s">
        <v>400</v>
      </c>
      <c r="D654" s="14">
        <v>0.54465920264079493</v>
      </c>
      <c r="E654" s="14">
        <v>8.1777508397004404</v>
      </c>
      <c r="F654" s="14">
        <v>21.069675284604994</v>
      </c>
      <c r="G654" s="14">
        <v>27.52407058323903</v>
      </c>
      <c r="H654" s="14">
        <v>26.679173081510633</v>
      </c>
      <c r="I654" s="14">
        <v>31.684315464731657</v>
      </c>
      <c r="J654" s="14">
        <v>111.98087022828631</v>
      </c>
    </row>
    <row r="655" spans="1:10" ht="15.75" x14ac:dyDescent="0.5">
      <c r="A655" s="13" t="s">
        <v>281</v>
      </c>
      <c r="B655" s="13" t="s">
        <v>420</v>
      </c>
      <c r="C655" s="13" t="s">
        <v>400</v>
      </c>
      <c r="D655" s="14">
        <v>-13.987252957808387</v>
      </c>
      <c r="E655" s="14">
        <v>-13.973088089840969</v>
      </c>
      <c r="F655" s="14">
        <v>-14.602778835876967</v>
      </c>
      <c r="G655" s="14">
        <v>-12.408835325793007</v>
      </c>
      <c r="H655" s="14">
        <v>-12.437133719092522</v>
      </c>
      <c r="I655" s="14">
        <v>-16.681399049361382</v>
      </c>
      <c r="J655" s="14">
        <v>-18.151203653084377</v>
      </c>
    </row>
    <row r="656" spans="1:10" ht="15.75" x14ac:dyDescent="0.5">
      <c r="A656" s="13" t="s">
        <v>282</v>
      </c>
      <c r="B656" s="13" t="s">
        <v>399</v>
      </c>
      <c r="C656" s="13" t="s">
        <v>400</v>
      </c>
      <c r="D656" s="14">
        <v>7.2499064625597907</v>
      </c>
      <c r="E656" s="14">
        <v>4.2389343065693544E-2</v>
      </c>
      <c r="F656" s="14">
        <v>0.51246000000000114</v>
      </c>
      <c r="G656" s="14">
        <v>2.4702119555746416</v>
      </c>
      <c r="H656" s="14">
        <v>3.3474747230599169</v>
      </c>
      <c r="I656" s="14">
        <v>3.749235992572884</v>
      </c>
      <c r="J656" s="14">
        <v>4.4117149489051197</v>
      </c>
    </row>
    <row r="657" spans="1:10" ht="15.75" x14ac:dyDescent="0.5">
      <c r="A657" s="13" t="s">
        <v>282</v>
      </c>
      <c r="B657" s="13" t="s">
        <v>401</v>
      </c>
      <c r="C657" s="13" t="s">
        <v>400</v>
      </c>
      <c r="D657" s="14" t="s">
        <v>250</v>
      </c>
      <c r="E657" s="14" t="s">
        <v>250</v>
      </c>
      <c r="F657" s="14">
        <v>138.47085378771405</v>
      </c>
      <c r="G657" s="14">
        <v>138.47085378771405</v>
      </c>
      <c r="H657" s="14">
        <v>24.882763065591991</v>
      </c>
      <c r="I657" s="14">
        <v>23.584254384662657</v>
      </c>
      <c r="J657" s="14" t="s">
        <v>250</v>
      </c>
    </row>
    <row r="658" spans="1:10" ht="15.75" x14ac:dyDescent="0.5">
      <c r="A658" s="13" t="s">
        <v>282</v>
      </c>
      <c r="B658" s="13" t="s">
        <v>402</v>
      </c>
      <c r="C658" s="13" t="s">
        <v>400</v>
      </c>
      <c r="D658" s="14">
        <v>1072.9916742877463</v>
      </c>
      <c r="E658" s="14">
        <v>404.71384565286405</v>
      </c>
      <c r="F658" s="14">
        <v>163.76070370900683</v>
      </c>
      <c r="G658" s="14">
        <v>144.87703858354087</v>
      </c>
      <c r="H658" s="14">
        <v>149.03815770457703</v>
      </c>
      <c r="I658" s="14">
        <v>26.077532556200744</v>
      </c>
      <c r="J658" s="14" t="s">
        <v>250</v>
      </c>
    </row>
    <row r="659" spans="1:10" ht="15.75" x14ac:dyDescent="0.5">
      <c r="A659" s="13" t="s">
        <v>282</v>
      </c>
      <c r="B659" s="13" t="s">
        <v>403</v>
      </c>
      <c r="C659" s="13" t="s">
        <v>400</v>
      </c>
      <c r="D659" s="14" t="s">
        <v>250</v>
      </c>
      <c r="E659" s="14" t="s">
        <v>250</v>
      </c>
      <c r="F659" s="14">
        <v>47.753042150313959</v>
      </c>
      <c r="G659" s="14">
        <v>47.753042150313931</v>
      </c>
      <c r="H659" s="14">
        <v>9.6239759117545436</v>
      </c>
      <c r="I659" s="14">
        <v>9.6239759117545418</v>
      </c>
      <c r="J659" s="14" t="s">
        <v>250</v>
      </c>
    </row>
    <row r="660" spans="1:10" ht="15.75" x14ac:dyDescent="0.5">
      <c r="A660" s="13" t="s">
        <v>282</v>
      </c>
      <c r="B660" s="13" t="s">
        <v>404</v>
      </c>
      <c r="C660" s="13" t="s">
        <v>400</v>
      </c>
      <c r="D660" s="14" t="s">
        <v>250</v>
      </c>
      <c r="E660" s="14" t="s">
        <v>250</v>
      </c>
      <c r="F660" s="14" t="s">
        <v>250</v>
      </c>
      <c r="G660" s="14" t="s">
        <v>250</v>
      </c>
      <c r="H660" s="14" t="s">
        <v>250</v>
      </c>
      <c r="I660" s="14">
        <v>3.7369214904305745</v>
      </c>
      <c r="J660" s="14">
        <v>134.32762175632007</v>
      </c>
    </row>
    <row r="661" spans="1:10" ht="15.75" x14ac:dyDescent="0.5">
      <c r="A661" s="13" t="s">
        <v>282</v>
      </c>
      <c r="B661" s="13" t="s">
        <v>421</v>
      </c>
      <c r="C661" s="13" t="s">
        <v>400</v>
      </c>
      <c r="D661" s="14" t="s">
        <v>250</v>
      </c>
      <c r="E661" s="14" t="s">
        <v>250</v>
      </c>
      <c r="F661" s="14" t="s">
        <v>250</v>
      </c>
      <c r="G661" s="14">
        <v>828.28405477770787</v>
      </c>
      <c r="H661" s="14">
        <v>2215.8220595388657</v>
      </c>
      <c r="I661" s="14">
        <v>2227.3238839243404</v>
      </c>
      <c r="J661" s="14">
        <v>1515.6239152403871</v>
      </c>
    </row>
    <row r="662" spans="1:10" ht="15.75" x14ac:dyDescent="0.5">
      <c r="A662" s="13" t="s">
        <v>282</v>
      </c>
      <c r="B662" s="13" t="s">
        <v>405</v>
      </c>
      <c r="C662" s="13" t="s">
        <v>400</v>
      </c>
      <c r="D662" s="14">
        <v>1259.3891290889935</v>
      </c>
      <c r="E662" s="14">
        <v>1332.223899503319</v>
      </c>
      <c r="F662" s="14">
        <v>1388.3217476258897</v>
      </c>
      <c r="G662" s="14">
        <v>1159.0930673900205</v>
      </c>
      <c r="H662" s="14">
        <v>671.38732713302352</v>
      </c>
      <c r="I662" s="14">
        <v>503.31230828120448</v>
      </c>
      <c r="J662" s="14">
        <v>145.5814595733182</v>
      </c>
    </row>
    <row r="663" spans="1:10" ht="15.75" x14ac:dyDescent="0.5">
      <c r="A663" s="13" t="s">
        <v>282</v>
      </c>
      <c r="B663" s="13" t="s">
        <v>406</v>
      </c>
      <c r="C663" s="13" t="s">
        <v>400</v>
      </c>
      <c r="D663" s="14">
        <v>23.479196814299339</v>
      </c>
      <c r="E663" s="14">
        <v>21.854851157210238</v>
      </c>
      <c r="F663" s="14">
        <v>44.844634972798438</v>
      </c>
      <c r="G663" s="14">
        <v>49.400249743830869</v>
      </c>
      <c r="H663" s="14">
        <v>59.420575905637065</v>
      </c>
      <c r="I663" s="14">
        <v>79.97051926060206</v>
      </c>
      <c r="J663" s="14">
        <v>92.435111460363999</v>
      </c>
    </row>
    <row r="664" spans="1:10" ht="15.75" x14ac:dyDescent="0.5">
      <c r="A664" s="13" t="s">
        <v>282</v>
      </c>
      <c r="B664" s="13" t="s">
        <v>407</v>
      </c>
      <c r="C664" s="13" t="s">
        <v>400</v>
      </c>
      <c r="D664" s="14" t="s">
        <v>250</v>
      </c>
      <c r="E664" s="14">
        <v>118.88326147074697</v>
      </c>
      <c r="F664" s="14">
        <v>138.89791847915711</v>
      </c>
      <c r="G664" s="14">
        <v>287.35605596838832</v>
      </c>
      <c r="H664" s="14">
        <v>316.13039396140238</v>
      </c>
      <c r="I664" s="14">
        <v>520.43510979277482</v>
      </c>
      <c r="J664" s="14">
        <v>648.95154850376753</v>
      </c>
    </row>
    <row r="665" spans="1:10" ht="15.75" x14ac:dyDescent="0.5">
      <c r="A665" s="13" t="s">
        <v>282</v>
      </c>
      <c r="B665" s="13" t="s">
        <v>408</v>
      </c>
      <c r="C665" s="13" t="s">
        <v>400</v>
      </c>
      <c r="D665" s="14">
        <v>46.892290321001219</v>
      </c>
      <c r="E665" s="14">
        <v>35.230732328830797</v>
      </c>
      <c r="F665" s="14">
        <v>32.09208334122296</v>
      </c>
      <c r="G665" s="14">
        <v>46.580961441877442</v>
      </c>
      <c r="H665" s="14">
        <v>46.031117225686806</v>
      </c>
      <c r="I665" s="14">
        <v>46.20912032940803</v>
      </c>
      <c r="J665" s="14">
        <v>46.857432818092192</v>
      </c>
    </row>
    <row r="666" spans="1:10" ht="15.75" x14ac:dyDescent="0.5">
      <c r="A666" s="13" t="s">
        <v>282</v>
      </c>
      <c r="B666" s="13" t="s">
        <v>409</v>
      </c>
      <c r="C666" s="13" t="s">
        <v>400</v>
      </c>
      <c r="D666" s="14">
        <v>18.365704270000037</v>
      </c>
      <c r="E666" s="14">
        <v>18.365704270000037</v>
      </c>
      <c r="F666" s="14">
        <v>18.36570427000003</v>
      </c>
      <c r="G666" s="14">
        <v>18.365704270000034</v>
      </c>
      <c r="H666" s="14">
        <v>18.365704270000034</v>
      </c>
      <c r="I666" s="14">
        <v>18.36570427000003</v>
      </c>
      <c r="J666" s="14">
        <v>18.365704270000037</v>
      </c>
    </row>
    <row r="667" spans="1:10" ht="15.75" x14ac:dyDescent="0.5">
      <c r="A667" s="13" t="s">
        <v>282</v>
      </c>
      <c r="B667" s="13" t="s">
        <v>410</v>
      </c>
      <c r="C667" s="13" t="s">
        <v>400</v>
      </c>
      <c r="D667" s="14">
        <v>245.79356253202221</v>
      </c>
      <c r="E667" s="14">
        <v>244.94287837461673</v>
      </c>
      <c r="F667" s="14">
        <v>246.12445039394586</v>
      </c>
      <c r="G667" s="14">
        <v>246.04277713779214</v>
      </c>
      <c r="H667" s="14">
        <v>246.11047820439788</v>
      </c>
      <c r="I667" s="14">
        <v>246.08800015013082</v>
      </c>
      <c r="J667" s="14">
        <v>246.16997594138644</v>
      </c>
    </row>
    <row r="668" spans="1:10" ht="15.75" x14ac:dyDescent="0.5">
      <c r="A668" s="13" t="s">
        <v>282</v>
      </c>
      <c r="B668" s="13" t="s">
        <v>411</v>
      </c>
      <c r="C668" s="13" t="s">
        <v>400</v>
      </c>
      <c r="D668" s="14">
        <v>7.1394000000000171</v>
      </c>
      <c r="E668" s="14">
        <v>5.8260569343065818</v>
      </c>
      <c r="F668" s="14" t="s">
        <v>250</v>
      </c>
      <c r="G668" s="14" t="s">
        <v>250</v>
      </c>
      <c r="H668" s="14" t="s">
        <v>250</v>
      </c>
      <c r="I668" s="14" t="s">
        <v>250</v>
      </c>
      <c r="J668" s="14" t="s">
        <v>250</v>
      </c>
    </row>
    <row r="669" spans="1:10" ht="15.75" x14ac:dyDescent="0.5">
      <c r="A669" s="13" t="s">
        <v>282</v>
      </c>
      <c r="B669" s="13" t="s">
        <v>412</v>
      </c>
      <c r="C669" s="13" t="s">
        <v>400</v>
      </c>
      <c r="D669" s="14">
        <v>760.72545968400175</v>
      </c>
      <c r="E669" s="14">
        <v>747.64526386113175</v>
      </c>
      <c r="F669" s="14">
        <v>643.03328127843065</v>
      </c>
      <c r="G669" s="14">
        <v>712.71277703419207</v>
      </c>
      <c r="H669" s="14">
        <v>731.0873467097357</v>
      </c>
      <c r="I669" s="14">
        <v>770.06895780521461</v>
      </c>
      <c r="J669" s="14">
        <v>851.82994893359546</v>
      </c>
    </row>
    <row r="670" spans="1:10" ht="15.75" x14ac:dyDescent="0.5">
      <c r="A670" s="13" t="s">
        <v>282</v>
      </c>
      <c r="B670" s="13" t="s">
        <v>413</v>
      </c>
      <c r="C670" s="13" t="s">
        <v>400</v>
      </c>
      <c r="D670" s="14">
        <v>23.70292761988614</v>
      </c>
      <c r="E670" s="14">
        <v>21.02466031727387</v>
      </c>
      <c r="F670" s="14">
        <v>7.4491923214795772</v>
      </c>
      <c r="G670" s="14">
        <v>2.7399782935911263</v>
      </c>
      <c r="H670" s="14">
        <v>1.8243759322608213</v>
      </c>
      <c r="I670" s="14">
        <v>0.28837660547335608</v>
      </c>
      <c r="J670" s="14">
        <v>8.2326321110060205E-2</v>
      </c>
    </row>
    <row r="671" spans="1:10" ht="15.75" x14ac:dyDescent="0.5">
      <c r="A671" s="13" t="s">
        <v>282</v>
      </c>
      <c r="B671" s="13" t="s">
        <v>414</v>
      </c>
      <c r="C671" s="13" t="s">
        <v>400</v>
      </c>
      <c r="D671" s="14">
        <v>0.68039077051095032</v>
      </c>
      <c r="E671" s="14">
        <v>25.076873062478086</v>
      </c>
      <c r="F671" s="14">
        <v>94.134149420611848</v>
      </c>
      <c r="G671" s="14">
        <v>188.52923141413737</v>
      </c>
      <c r="H671" s="14">
        <v>242.6939754701493</v>
      </c>
      <c r="I671" s="14">
        <v>243.3135029777645</v>
      </c>
      <c r="J671" s="14">
        <v>243.75602262606154</v>
      </c>
    </row>
    <row r="672" spans="1:10" ht="15.75" x14ac:dyDescent="0.5">
      <c r="A672" s="13" t="s">
        <v>282</v>
      </c>
      <c r="B672" s="13" t="s">
        <v>415</v>
      </c>
      <c r="C672" s="13" t="s">
        <v>400</v>
      </c>
      <c r="D672" s="14">
        <v>440.53124483255567</v>
      </c>
      <c r="E672" s="14">
        <v>866.72316768985365</v>
      </c>
      <c r="F672" s="14">
        <v>1338.6457458712459</v>
      </c>
      <c r="G672" s="14">
        <v>1427.1047762109399</v>
      </c>
      <c r="H672" s="14">
        <v>1586.400507170717</v>
      </c>
      <c r="I672" s="14">
        <v>1962.2451194530668</v>
      </c>
      <c r="J672" s="14">
        <v>2800.877729172877</v>
      </c>
    </row>
    <row r="673" spans="1:10" ht="15.75" x14ac:dyDescent="0.5">
      <c r="A673" s="13" t="s">
        <v>282</v>
      </c>
      <c r="B673" s="13" t="s">
        <v>416</v>
      </c>
      <c r="C673" s="13" t="s">
        <v>400</v>
      </c>
      <c r="D673" s="14" t="s">
        <v>250</v>
      </c>
      <c r="E673" s="14">
        <v>54.174742594980991</v>
      </c>
      <c r="F673" s="14">
        <v>66.675949052097465</v>
      </c>
      <c r="G673" s="14">
        <v>76.80143517020214</v>
      </c>
      <c r="H673" s="14">
        <v>77.990654991853717</v>
      </c>
      <c r="I673" s="14">
        <v>82.683057309487666</v>
      </c>
      <c r="J673" s="14">
        <v>94.727837483420956</v>
      </c>
    </row>
    <row r="674" spans="1:10" ht="15.75" x14ac:dyDescent="0.5">
      <c r="A674" s="13" t="s">
        <v>282</v>
      </c>
      <c r="B674" s="13" t="s">
        <v>417</v>
      </c>
      <c r="C674" s="13" t="s">
        <v>400</v>
      </c>
      <c r="D674" s="14">
        <v>187.487096334087</v>
      </c>
      <c r="E674" s="14">
        <v>301.27702622378956</v>
      </c>
      <c r="F674" s="14">
        <v>343.21071830874575</v>
      </c>
      <c r="G674" s="14">
        <v>402.780292661359</v>
      </c>
      <c r="H674" s="14">
        <v>525.28236749535085</v>
      </c>
      <c r="I674" s="14">
        <v>1033.1610597823123</v>
      </c>
      <c r="J674" s="14">
        <v>1587.600873800189</v>
      </c>
    </row>
    <row r="675" spans="1:10" ht="15.75" x14ac:dyDescent="0.5">
      <c r="A675" s="13" t="s">
        <v>282</v>
      </c>
      <c r="B675" s="13" t="s">
        <v>418</v>
      </c>
      <c r="C675" s="13" t="s">
        <v>400</v>
      </c>
      <c r="D675" s="14">
        <v>3.1841751731019534</v>
      </c>
      <c r="E675" s="14">
        <v>3.1841751731019534</v>
      </c>
      <c r="F675" s="14">
        <v>3.1841751731019525</v>
      </c>
      <c r="G675" s="14">
        <v>3.184175173101953</v>
      </c>
      <c r="H675" s="14">
        <v>3.1841751731019534</v>
      </c>
      <c r="I675" s="14">
        <v>3.1841751731019539</v>
      </c>
      <c r="J675" s="14">
        <v>3.1841751731019534</v>
      </c>
    </row>
    <row r="676" spans="1:10" ht="15.75" x14ac:dyDescent="0.5">
      <c r="A676" s="13" t="s">
        <v>282</v>
      </c>
      <c r="B676" s="13" t="s">
        <v>419</v>
      </c>
      <c r="C676" s="13" t="s">
        <v>400</v>
      </c>
      <c r="D676" s="14">
        <v>0.54465920264079504</v>
      </c>
      <c r="E676" s="14">
        <v>8.3160317834406783</v>
      </c>
      <c r="F676" s="14">
        <v>21.871290670922612</v>
      </c>
      <c r="G676" s="14">
        <v>21.616229190729378</v>
      </c>
      <c r="H676" s="14">
        <v>40.882799529663075</v>
      </c>
      <c r="I676" s="14">
        <v>74.176115762416856</v>
      </c>
      <c r="J676" s="14">
        <v>400.62744841885404</v>
      </c>
    </row>
    <row r="677" spans="1:10" ht="15.75" x14ac:dyDescent="0.5">
      <c r="A677" s="13" t="s">
        <v>282</v>
      </c>
      <c r="B677" s="13" t="s">
        <v>420</v>
      </c>
      <c r="C677" s="13" t="s">
        <v>400</v>
      </c>
      <c r="D677" s="14">
        <v>-13.98725295780843</v>
      </c>
      <c r="E677" s="14">
        <v>-13.876535263314103</v>
      </c>
      <c r="F677" s="14">
        <v>-13.624104687676191</v>
      </c>
      <c r="G677" s="14">
        <v>-12.274021655795769</v>
      </c>
      <c r="H677" s="14">
        <v>-15.709453206734629</v>
      </c>
      <c r="I677" s="14">
        <v>-15.467058556989436</v>
      </c>
      <c r="J677" s="14">
        <v>-13.105172222215414</v>
      </c>
    </row>
    <row r="678" spans="1:10" ht="15.75" x14ac:dyDescent="0.5">
      <c r="A678" s="13" t="s">
        <v>283</v>
      </c>
      <c r="B678" s="13" t="s">
        <v>399</v>
      </c>
      <c r="C678" s="13" t="s">
        <v>400</v>
      </c>
      <c r="D678" s="14">
        <v>7.2499064625597889</v>
      </c>
      <c r="E678" s="14">
        <v>4.2389343065693544E-2</v>
      </c>
      <c r="F678" s="14">
        <v>0.51246000000000103</v>
      </c>
      <c r="G678" s="14">
        <v>2.1856494306569387</v>
      </c>
      <c r="H678" s="14">
        <v>3.5704813875150134</v>
      </c>
      <c r="I678" s="14">
        <v>3.2875524087591312</v>
      </c>
      <c r="J678" s="14">
        <v>2.7453178914830842</v>
      </c>
    </row>
    <row r="679" spans="1:10" ht="15.75" x14ac:dyDescent="0.5">
      <c r="A679" s="13" t="s">
        <v>283</v>
      </c>
      <c r="B679" s="13" t="s">
        <v>401</v>
      </c>
      <c r="C679" s="13" t="s">
        <v>400</v>
      </c>
      <c r="D679" s="14" t="s">
        <v>250</v>
      </c>
      <c r="E679" s="14" t="s">
        <v>250</v>
      </c>
      <c r="F679" s="14">
        <v>137.45382062259284</v>
      </c>
      <c r="G679" s="14">
        <v>137.45382062259284</v>
      </c>
      <c r="H679" s="14">
        <v>25.767875509167855</v>
      </c>
      <c r="I679" s="14">
        <v>25.115361129164182</v>
      </c>
      <c r="J679" s="14" t="s">
        <v>250</v>
      </c>
    </row>
    <row r="680" spans="1:10" ht="15.75" x14ac:dyDescent="0.5">
      <c r="A680" s="13" t="s">
        <v>283</v>
      </c>
      <c r="B680" s="13" t="s">
        <v>402</v>
      </c>
      <c r="C680" s="13" t="s">
        <v>400</v>
      </c>
      <c r="D680" s="14">
        <v>1072.9916742877467</v>
      </c>
      <c r="E680" s="14">
        <v>404.4332607105452</v>
      </c>
      <c r="F680" s="14">
        <v>165.06799019068831</v>
      </c>
      <c r="G680" s="14">
        <v>146.40374643464054</v>
      </c>
      <c r="H680" s="14">
        <v>144.31971193583013</v>
      </c>
      <c r="I680" s="14">
        <v>36.639878415723153</v>
      </c>
      <c r="J680" s="14" t="s">
        <v>250</v>
      </c>
    </row>
    <row r="681" spans="1:10" ht="15.75" x14ac:dyDescent="0.5">
      <c r="A681" s="13" t="s">
        <v>283</v>
      </c>
      <c r="B681" s="13" t="s">
        <v>403</v>
      </c>
      <c r="C681" s="13" t="s">
        <v>400</v>
      </c>
      <c r="D681" s="14" t="s">
        <v>250</v>
      </c>
      <c r="E681" s="14" t="s">
        <v>250</v>
      </c>
      <c r="F681" s="14">
        <v>65.695275732331311</v>
      </c>
      <c r="G681" s="14">
        <v>65.695275732331325</v>
      </c>
      <c r="H681" s="14">
        <v>13.23114652472643</v>
      </c>
      <c r="I681" s="14">
        <v>13.606695204326792</v>
      </c>
      <c r="J681" s="14" t="s">
        <v>250</v>
      </c>
    </row>
    <row r="682" spans="1:10" ht="15.75" x14ac:dyDescent="0.5">
      <c r="A682" s="13" t="s">
        <v>283</v>
      </c>
      <c r="B682" s="13" t="s">
        <v>404</v>
      </c>
      <c r="C682" s="13" t="s">
        <v>400</v>
      </c>
      <c r="D682" s="14" t="s">
        <v>250</v>
      </c>
      <c r="E682" s="14" t="s">
        <v>250</v>
      </c>
      <c r="F682" s="14" t="s">
        <v>250</v>
      </c>
      <c r="G682" s="14" t="s">
        <v>250</v>
      </c>
      <c r="H682" s="14" t="s">
        <v>250</v>
      </c>
      <c r="I682" s="14">
        <v>1.5431376365822236</v>
      </c>
      <c r="J682" s="14">
        <v>22.730768479423539</v>
      </c>
    </row>
    <row r="683" spans="1:10" ht="15.75" x14ac:dyDescent="0.5">
      <c r="A683" s="13" t="s">
        <v>283</v>
      </c>
      <c r="B683" s="13" t="s">
        <v>421</v>
      </c>
      <c r="C683" s="13" t="s">
        <v>400</v>
      </c>
      <c r="D683" s="14" t="s">
        <v>250</v>
      </c>
      <c r="E683" s="14" t="s">
        <v>250</v>
      </c>
      <c r="F683" s="14" t="s">
        <v>250</v>
      </c>
      <c r="G683" s="14">
        <v>812.6076083549392</v>
      </c>
      <c r="H683" s="14">
        <v>2178.6543379846466</v>
      </c>
      <c r="I683" s="14">
        <v>2189.702777713414</v>
      </c>
      <c r="J683" s="14">
        <v>385.26485942118876</v>
      </c>
    </row>
    <row r="684" spans="1:10" ht="15.75" x14ac:dyDescent="0.5">
      <c r="A684" s="13" t="s">
        <v>283</v>
      </c>
      <c r="B684" s="13" t="s">
        <v>405</v>
      </c>
      <c r="C684" s="13" t="s">
        <v>400</v>
      </c>
      <c r="D684" s="14">
        <v>1259.3891290889951</v>
      </c>
      <c r="E684" s="14">
        <v>1333.0950126959294</v>
      </c>
      <c r="F684" s="14">
        <v>1371.2243983954559</v>
      </c>
      <c r="G684" s="14">
        <v>1152.1400236902232</v>
      </c>
      <c r="H684" s="14">
        <v>685.37853015161249</v>
      </c>
      <c r="I684" s="14">
        <v>476.78209794670255</v>
      </c>
      <c r="J684" s="14">
        <v>181.76521368127661</v>
      </c>
    </row>
    <row r="685" spans="1:10" ht="15.75" x14ac:dyDescent="0.5">
      <c r="A685" s="13" t="s">
        <v>283</v>
      </c>
      <c r="B685" s="13" t="s">
        <v>406</v>
      </c>
      <c r="C685" s="13" t="s">
        <v>400</v>
      </c>
      <c r="D685" s="14">
        <v>23.479196814299332</v>
      </c>
      <c r="E685" s="14">
        <v>21.768546200665135</v>
      </c>
      <c r="F685" s="14">
        <v>45.008164633466642</v>
      </c>
      <c r="G685" s="14">
        <v>49.487582695920317</v>
      </c>
      <c r="H685" s="14">
        <v>59.47340500265998</v>
      </c>
      <c r="I685" s="14">
        <v>77.447175069550966</v>
      </c>
      <c r="J685" s="14">
        <v>91.24507284383985</v>
      </c>
    </row>
    <row r="686" spans="1:10" ht="15.75" x14ac:dyDescent="0.5">
      <c r="A686" s="13" t="s">
        <v>283</v>
      </c>
      <c r="B686" s="13" t="s">
        <v>407</v>
      </c>
      <c r="C686" s="13" t="s">
        <v>400</v>
      </c>
      <c r="D686" s="14" t="s">
        <v>250</v>
      </c>
      <c r="E686" s="14">
        <v>118.4895615963547</v>
      </c>
      <c r="F686" s="14">
        <v>137.02781248705162</v>
      </c>
      <c r="G686" s="14">
        <v>289.58716727573756</v>
      </c>
      <c r="H686" s="14">
        <v>315.93940721386235</v>
      </c>
      <c r="I686" s="14">
        <v>499.29209724632494</v>
      </c>
      <c r="J686" s="14">
        <v>445.19885246778836</v>
      </c>
    </row>
    <row r="687" spans="1:10" ht="15.75" x14ac:dyDescent="0.5">
      <c r="A687" s="13" t="s">
        <v>283</v>
      </c>
      <c r="B687" s="13" t="s">
        <v>408</v>
      </c>
      <c r="C687" s="13" t="s">
        <v>400</v>
      </c>
      <c r="D687" s="14">
        <v>46.892290321001212</v>
      </c>
      <c r="E687" s="14">
        <v>35.246966170015774</v>
      </c>
      <c r="F687" s="14">
        <v>32.070297971433753</v>
      </c>
      <c r="G687" s="14">
        <v>46.605081340345386</v>
      </c>
      <c r="H687" s="14">
        <v>46.120958247778958</v>
      </c>
      <c r="I687" s="14">
        <v>46.423829013011584</v>
      </c>
      <c r="J687" s="14">
        <v>43.998279796976234</v>
      </c>
    </row>
    <row r="688" spans="1:10" ht="15.75" x14ac:dyDescent="0.5">
      <c r="A688" s="13" t="s">
        <v>283</v>
      </c>
      <c r="B688" s="13" t="s">
        <v>409</v>
      </c>
      <c r="C688" s="13" t="s">
        <v>400</v>
      </c>
      <c r="D688" s="14">
        <v>18.365704270000034</v>
      </c>
      <c r="E688" s="14">
        <v>18.365704270000034</v>
      </c>
      <c r="F688" s="14">
        <v>18.36570427000003</v>
      </c>
      <c r="G688" s="14">
        <v>18.365704270000034</v>
      </c>
      <c r="H688" s="14">
        <v>18.365704270000037</v>
      </c>
      <c r="I688" s="14">
        <v>18.365704270000034</v>
      </c>
      <c r="J688" s="14">
        <v>18.365704270000034</v>
      </c>
    </row>
    <row r="689" spans="1:10" ht="15.75" x14ac:dyDescent="0.5">
      <c r="A689" s="13" t="s">
        <v>283</v>
      </c>
      <c r="B689" s="13" t="s">
        <v>410</v>
      </c>
      <c r="C689" s="13" t="s">
        <v>400</v>
      </c>
      <c r="D689" s="14">
        <v>245.79356253202209</v>
      </c>
      <c r="E689" s="14">
        <v>244.94666147540457</v>
      </c>
      <c r="F689" s="14">
        <v>246.12445039394575</v>
      </c>
      <c r="G689" s="14">
        <v>246.14973280241139</v>
      </c>
      <c r="H689" s="14">
        <v>246.1421935058693</v>
      </c>
      <c r="I689" s="14">
        <v>246.09992834523072</v>
      </c>
      <c r="J689" s="14">
        <v>246.12867148970639</v>
      </c>
    </row>
    <row r="690" spans="1:10" ht="15.75" x14ac:dyDescent="0.5">
      <c r="A690" s="13" t="s">
        <v>283</v>
      </c>
      <c r="B690" s="13" t="s">
        <v>411</v>
      </c>
      <c r="C690" s="13" t="s">
        <v>400</v>
      </c>
      <c r="D690" s="14">
        <v>7.1394000000000162</v>
      </c>
      <c r="E690" s="14">
        <v>5.8260569343065836</v>
      </c>
      <c r="F690" s="14" t="s">
        <v>250</v>
      </c>
      <c r="G690" s="14" t="s">
        <v>250</v>
      </c>
      <c r="H690" s="14" t="s">
        <v>250</v>
      </c>
      <c r="I690" s="14" t="s">
        <v>250</v>
      </c>
      <c r="J690" s="14" t="s">
        <v>250</v>
      </c>
    </row>
    <row r="691" spans="1:10" ht="15.75" x14ac:dyDescent="0.5">
      <c r="A691" s="13" t="s">
        <v>283</v>
      </c>
      <c r="B691" s="13" t="s">
        <v>412</v>
      </c>
      <c r="C691" s="13" t="s">
        <v>400</v>
      </c>
      <c r="D691" s="14">
        <v>760.72545968400186</v>
      </c>
      <c r="E691" s="14">
        <v>747.76829326644906</v>
      </c>
      <c r="F691" s="14">
        <v>643.36918563063716</v>
      </c>
      <c r="G691" s="14">
        <v>711.1961701404681</v>
      </c>
      <c r="H691" s="14">
        <v>754.5345712478445</v>
      </c>
      <c r="I691" s="14">
        <v>927.06543623833886</v>
      </c>
      <c r="J691" s="14">
        <v>3076.8934568859527</v>
      </c>
    </row>
    <row r="692" spans="1:10" ht="15.75" x14ac:dyDescent="0.5">
      <c r="A692" s="13" t="s">
        <v>283</v>
      </c>
      <c r="B692" s="13" t="s">
        <v>413</v>
      </c>
      <c r="C692" s="13" t="s">
        <v>400</v>
      </c>
      <c r="D692" s="14">
        <v>23.702927619886133</v>
      </c>
      <c r="E692" s="14">
        <v>20.905640165387858</v>
      </c>
      <c r="F692" s="14">
        <v>7.4575097229215057</v>
      </c>
      <c r="G692" s="14">
        <v>2.7232491652390833</v>
      </c>
      <c r="H692" s="14">
        <v>1.7481699777891984</v>
      </c>
      <c r="I692" s="14">
        <v>0.45903022405692956</v>
      </c>
      <c r="J692" s="14" t="s">
        <v>250</v>
      </c>
    </row>
    <row r="693" spans="1:10" ht="15.75" x14ac:dyDescent="0.5">
      <c r="A693" s="13" t="s">
        <v>283</v>
      </c>
      <c r="B693" s="13" t="s">
        <v>414</v>
      </c>
      <c r="C693" s="13" t="s">
        <v>400</v>
      </c>
      <c r="D693" s="14">
        <v>0.6803907705109502</v>
      </c>
      <c r="E693" s="14">
        <v>25.083318230398923</v>
      </c>
      <c r="F693" s="14">
        <v>94.558129043328819</v>
      </c>
      <c r="G693" s="14">
        <v>188.52975105940024</v>
      </c>
      <c r="H693" s="14">
        <v>240.81571412336393</v>
      </c>
      <c r="I693" s="14">
        <v>241.42976679049286</v>
      </c>
      <c r="J693" s="14">
        <v>241.86837583844266</v>
      </c>
    </row>
    <row r="694" spans="1:10" ht="15.75" x14ac:dyDescent="0.5">
      <c r="A694" s="13" t="s">
        <v>283</v>
      </c>
      <c r="B694" s="13" t="s">
        <v>415</v>
      </c>
      <c r="C694" s="13" t="s">
        <v>400</v>
      </c>
      <c r="D694" s="14">
        <v>440.53124483255573</v>
      </c>
      <c r="E694" s="14">
        <v>866.70030095906441</v>
      </c>
      <c r="F694" s="14">
        <v>1338.2250525230115</v>
      </c>
      <c r="G694" s="14">
        <v>1426.1501170770252</v>
      </c>
      <c r="H694" s="14">
        <v>1588.0985681956352</v>
      </c>
      <c r="I694" s="14">
        <v>1869.5076758852119</v>
      </c>
      <c r="J694" s="14">
        <v>2150.3387664738657</v>
      </c>
    </row>
    <row r="695" spans="1:10" ht="15.75" x14ac:dyDescent="0.5">
      <c r="A695" s="13" t="s">
        <v>283</v>
      </c>
      <c r="B695" s="13" t="s">
        <v>416</v>
      </c>
      <c r="C695" s="13" t="s">
        <v>400</v>
      </c>
      <c r="D695" s="14" t="s">
        <v>250</v>
      </c>
      <c r="E695" s="14">
        <v>54.174742594980984</v>
      </c>
      <c r="F695" s="14">
        <v>66.675949052097465</v>
      </c>
      <c r="G695" s="14">
        <v>76.801435170202097</v>
      </c>
      <c r="H695" s="14">
        <v>77.990654991853717</v>
      </c>
      <c r="I695" s="14">
        <v>82.683057309487666</v>
      </c>
      <c r="J695" s="14">
        <v>94.72783748342097</v>
      </c>
    </row>
    <row r="696" spans="1:10" ht="15.75" x14ac:dyDescent="0.5">
      <c r="A696" s="13" t="s">
        <v>283</v>
      </c>
      <c r="B696" s="13" t="s">
        <v>417</v>
      </c>
      <c r="C696" s="13" t="s">
        <v>400</v>
      </c>
      <c r="D696" s="14">
        <v>187.48709633408703</v>
      </c>
      <c r="E696" s="14">
        <v>301.27702622378951</v>
      </c>
      <c r="F696" s="14">
        <v>343.21071830874564</v>
      </c>
      <c r="G696" s="14">
        <v>403.88675389042515</v>
      </c>
      <c r="H696" s="14">
        <v>522.46649630256877</v>
      </c>
      <c r="I696" s="14">
        <v>1043.4028539753681</v>
      </c>
      <c r="J696" s="14">
        <v>1386.8625409331196</v>
      </c>
    </row>
    <row r="697" spans="1:10" ht="15.75" x14ac:dyDescent="0.5">
      <c r="A697" s="13" t="s">
        <v>283</v>
      </c>
      <c r="B697" s="13" t="s">
        <v>418</v>
      </c>
      <c r="C697" s="13" t="s">
        <v>400</v>
      </c>
      <c r="D697" s="14">
        <v>3.1841751731019539</v>
      </c>
      <c r="E697" s="14">
        <v>3.1841751731019534</v>
      </c>
      <c r="F697" s="14">
        <v>3.1841751731019539</v>
      </c>
      <c r="G697" s="14">
        <v>3.1841751731019534</v>
      </c>
      <c r="H697" s="14">
        <v>3.1841751731019534</v>
      </c>
      <c r="I697" s="14">
        <v>3.184175173101953</v>
      </c>
      <c r="J697" s="14">
        <v>3.1841751731019534</v>
      </c>
    </row>
    <row r="698" spans="1:10" ht="15.75" x14ac:dyDescent="0.5">
      <c r="A698" s="13" t="s">
        <v>283</v>
      </c>
      <c r="B698" s="13" t="s">
        <v>419</v>
      </c>
      <c r="C698" s="13" t="s">
        <v>400</v>
      </c>
      <c r="D698" s="14">
        <v>0.54465920264079504</v>
      </c>
      <c r="E698" s="14">
        <v>8.411514741578511</v>
      </c>
      <c r="F698" s="14">
        <v>21.937702461697135</v>
      </c>
      <c r="G698" s="14">
        <v>24.446289567586966</v>
      </c>
      <c r="H698" s="14">
        <v>39.932671018876135</v>
      </c>
      <c r="I698" s="14">
        <v>61.317627729101673</v>
      </c>
      <c r="J698" s="14">
        <v>100.38787599655289</v>
      </c>
    </row>
    <row r="699" spans="1:10" ht="15.75" x14ac:dyDescent="0.5">
      <c r="A699" s="13" t="s">
        <v>283</v>
      </c>
      <c r="B699" s="13" t="s">
        <v>420</v>
      </c>
      <c r="C699" s="13" t="s">
        <v>400</v>
      </c>
      <c r="D699" s="14">
        <v>-13.987252957808316</v>
      </c>
      <c r="E699" s="14">
        <v>-13.901077409273778</v>
      </c>
      <c r="F699" s="14">
        <v>-13.774351973751987</v>
      </c>
      <c r="G699" s="14">
        <v>-12.376988365812821</v>
      </c>
      <c r="H699" s="14">
        <v>-15.276715207507326</v>
      </c>
      <c r="I699" s="14">
        <v>-16.858297537117998</v>
      </c>
      <c r="J699" s="14">
        <v>-15.331384731567852</v>
      </c>
    </row>
    <row r="700" spans="1:10" ht="15.75" x14ac:dyDescent="0.5">
      <c r="A700" s="13" t="s">
        <v>284</v>
      </c>
      <c r="B700" s="13" t="s">
        <v>399</v>
      </c>
      <c r="C700" s="13" t="s">
        <v>400</v>
      </c>
      <c r="D700" s="14">
        <v>7.2499064625597907</v>
      </c>
      <c r="E700" s="14">
        <v>0.29730534306569401</v>
      </c>
      <c r="F700" s="14">
        <v>0.51246000000000103</v>
      </c>
      <c r="G700" s="14">
        <v>2.4830895665621058</v>
      </c>
      <c r="H700" s="14">
        <v>2.4199924433076463</v>
      </c>
      <c r="I700" s="14">
        <v>1.3843324379562074</v>
      </c>
      <c r="J700" s="14">
        <v>6.9822223339135736E-2</v>
      </c>
    </row>
    <row r="701" spans="1:10" ht="15.75" x14ac:dyDescent="0.5">
      <c r="A701" s="13" t="s">
        <v>284</v>
      </c>
      <c r="B701" s="13" t="s">
        <v>401</v>
      </c>
      <c r="C701" s="13" t="s">
        <v>400</v>
      </c>
      <c r="D701" s="14" t="s">
        <v>250</v>
      </c>
      <c r="E701" s="14" t="s">
        <v>250</v>
      </c>
      <c r="F701" s="14">
        <v>153.49495259690437</v>
      </c>
      <c r="G701" s="14">
        <v>153.49495259690428</v>
      </c>
      <c r="H701" s="14">
        <v>29.03618207901205</v>
      </c>
      <c r="I701" s="14">
        <v>24.628050950273781</v>
      </c>
      <c r="J701" s="14" t="s">
        <v>250</v>
      </c>
    </row>
    <row r="702" spans="1:10" ht="15.75" x14ac:dyDescent="0.5">
      <c r="A702" s="13" t="s">
        <v>284</v>
      </c>
      <c r="B702" s="13" t="s">
        <v>402</v>
      </c>
      <c r="C702" s="13" t="s">
        <v>400</v>
      </c>
      <c r="D702" s="14">
        <v>1072.9916742877465</v>
      </c>
      <c r="E702" s="14">
        <v>404.00236217321083</v>
      </c>
      <c r="F702" s="14">
        <v>154.58287153884359</v>
      </c>
      <c r="G702" s="14">
        <v>97.686126021189196</v>
      </c>
      <c r="H702" s="14">
        <v>101.84989898876367</v>
      </c>
      <c r="I702" s="14">
        <v>56.982417813735474</v>
      </c>
      <c r="J702" s="14" t="s">
        <v>250</v>
      </c>
    </row>
    <row r="703" spans="1:10" ht="15.75" x14ac:dyDescent="0.5">
      <c r="A703" s="13" t="s">
        <v>284</v>
      </c>
      <c r="B703" s="13" t="s">
        <v>403</v>
      </c>
      <c r="C703" s="13" t="s">
        <v>400</v>
      </c>
      <c r="D703" s="14" t="s">
        <v>250</v>
      </c>
      <c r="E703" s="14" t="s">
        <v>250</v>
      </c>
      <c r="F703" s="14">
        <v>124.68015603475827</v>
      </c>
      <c r="G703" s="14">
        <v>124.68015603475828</v>
      </c>
      <c r="H703" s="14">
        <v>25.26292223528063</v>
      </c>
      <c r="I703" s="14">
        <v>25.262922235280637</v>
      </c>
      <c r="J703" s="14" t="s">
        <v>250</v>
      </c>
    </row>
    <row r="704" spans="1:10" ht="15.75" x14ac:dyDescent="0.5">
      <c r="A704" s="13" t="s">
        <v>284</v>
      </c>
      <c r="B704" s="13" t="s">
        <v>404</v>
      </c>
      <c r="C704" s="13" t="s">
        <v>400</v>
      </c>
      <c r="D704" s="14" t="s">
        <v>250</v>
      </c>
      <c r="E704" s="14" t="s">
        <v>250</v>
      </c>
      <c r="F704" s="14" t="s">
        <v>250</v>
      </c>
      <c r="G704" s="14" t="s">
        <v>250</v>
      </c>
      <c r="H704" s="14" t="s">
        <v>250</v>
      </c>
      <c r="I704" s="14">
        <v>0.33069896914528535</v>
      </c>
      <c r="J704" s="14">
        <v>9.2558663786558597</v>
      </c>
    </row>
    <row r="705" spans="1:10" ht="15.75" x14ac:dyDescent="0.5">
      <c r="A705" s="13" t="s">
        <v>284</v>
      </c>
      <c r="B705" s="13" t="s">
        <v>421</v>
      </c>
      <c r="C705" s="13" t="s">
        <v>400</v>
      </c>
      <c r="D705" s="14" t="s">
        <v>250</v>
      </c>
      <c r="E705" s="14" t="s">
        <v>250</v>
      </c>
      <c r="F705" s="14" t="s">
        <v>250</v>
      </c>
      <c r="G705" s="14">
        <v>473.2406290299665</v>
      </c>
      <c r="H705" s="14">
        <v>1275.6850969105158</v>
      </c>
      <c r="I705" s="14">
        <v>1266.8439024440027</v>
      </c>
      <c r="J705" s="14">
        <v>216.53080465233612</v>
      </c>
    </row>
    <row r="706" spans="1:10" ht="15.75" x14ac:dyDescent="0.5">
      <c r="A706" s="13" t="s">
        <v>284</v>
      </c>
      <c r="B706" s="13" t="s">
        <v>405</v>
      </c>
      <c r="C706" s="13" t="s">
        <v>400</v>
      </c>
      <c r="D706" s="14">
        <v>1259.3891290889942</v>
      </c>
      <c r="E706" s="14">
        <v>1330.1334694375453</v>
      </c>
      <c r="F706" s="14">
        <v>1307.1019238167307</v>
      </c>
      <c r="G706" s="14">
        <v>1282.2093328192618</v>
      </c>
      <c r="H706" s="14">
        <v>847.38699068052404</v>
      </c>
      <c r="I706" s="14">
        <v>465.10303775704023</v>
      </c>
      <c r="J706" s="14">
        <v>189.41727306906392</v>
      </c>
    </row>
    <row r="707" spans="1:10" ht="15.75" x14ac:dyDescent="0.5">
      <c r="A707" s="13" t="s">
        <v>284</v>
      </c>
      <c r="B707" s="13" t="s">
        <v>406</v>
      </c>
      <c r="C707" s="13" t="s">
        <v>400</v>
      </c>
      <c r="D707" s="14">
        <v>23.479196814299328</v>
      </c>
      <c r="E707" s="14">
        <v>21.319621787929705</v>
      </c>
      <c r="F707" s="14">
        <v>44.451450383947574</v>
      </c>
      <c r="G707" s="14">
        <v>49.765537158082118</v>
      </c>
      <c r="H707" s="14">
        <v>57.030021947870502</v>
      </c>
      <c r="I707" s="14">
        <v>64.386359926829726</v>
      </c>
      <c r="J707" s="14">
        <v>93.7788730720861</v>
      </c>
    </row>
    <row r="708" spans="1:10" ht="15.75" x14ac:dyDescent="0.5">
      <c r="A708" s="13" t="s">
        <v>284</v>
      </c>
      <c r="B708" s="13" t="s">
        <v>407</v>
      </c>
      <c r="C708" s="13" t="s">
        <v>400</v>
      </c>
      <c r="D708" s="14" t="s">
        <v>250</v>
      </c>
      <c r="E708" s="14">
        <v>118.46925279398643</v>
      </c>
      <c r="F708" s="14">
        <v>127.24568302738331</v>
      </c>
      <c r="G708" s="14">
        <v>364.25438652707658</v>
      </c>
      <c r="H708" s="14">
        <v>258.71466977893112</v>
      </c>
      <c r="I708" s="14">
        <v>140.3140722570584</v>
      </c>
      <c r="J708" s="14">
        <v>119.00850766035384</v>
      </c>
    </row>
    <row r="709" spans="1:10" ht="15.75" x14ac:dyDescent="0.5">
      <c r="A709" s="13" t="s">
        <v>284</v>
      </c>
      <c r="B709" s="13" t="s">
        <v>408</v>
      </c>
      <c r="C709" s="13" t="s">
        <v>400</v>
      </c>
      <c r="D709" s="14">
        <v>46.892290321001219</v>
      </c>
      <c r="E709" s="14">
        <v>35.104434443251733</v>
      </c>
      <c r="F709" s="14">
        <v>31.818664411167099</v>
      </c>
      <c r="G709" s="14">
        <v>46.969195353732509</v>
      </c>
      <c r="H709" s="14">
        <v>44.47313820652721</v>
      </c>
      <c r="I709" s="14">
        <v>43.236748557893677</v>
      </c>
      <c r="J709" s="14">
        <v>35.052651654974404</v>
      </c>
    </row>
    <row r="710" spans="1:10" ht="15.75" x14ac:dyDescent="0.5">
      <c r="A710" s="13" t="s">
        <v>284</v>
      </c>
      <c r="B710" s="13" t="s">
        <v>409</v>
      </c>
      <c r="C710" s="13" t="s">
        <v>400</v>
      </c>
      <c r="D710" s="14">
        <v>18.365704270000034</v>
      </c>
      <c r="E710" s="14">
        <v>18.365704270000023</v>
      </c>
      <c r="F710" s="14">
        <v>18.365704270000034</v>
      </c>
      <c r="G710" s="14">
        <v>18.365704270000034</v>
      </c>
      <c r="H710" s="14">
        <v>18.365704270000034</v>
      </c>
      <c r="I710" s="14">
        <v>18.365704270000041</v>
      </c>
      <c r="J710" s="14">
        <v>18.365704270000037</v>
      </c>
    </row>
    <row r="711" spans="1:10" ht="15.75" x14ac:dyDescent="0.5">
      <c r="A711" s="13" t="s">
        <v>284</v>
      </c>
      <c r="B711" s="13" t="s">
        <v>410</v>
      </c>
      <c r="C711" s="13" t="s">
        <v>400</v>
      </c>
      <c r="D711" s="14">
        <v>245.79356253202212</v>
      </c>
      <c r="E711" s="14">
        <v>244.97807672278373</v>
      </c>
      <c r="F711" s="14">
        <v>246.10466308977902</v>
      </c>
      <c r="G711" s="14">
        <v>246.13895165600067</v>
      </c>
      <c r="H711" s="14">
        <v>246.16997594138556</v>
      </c>
      <c r="I711" s="14">
        <v>246.16917280241293</v>
      </c>
      <c r="J711" s="14">
        <v>246.16917280241401</v>
      </c>
    </row>
    <row r="712" spans="1:10" ht="15.75" x14ac:dyDescent="0.5">
      <c r="A712" s="13" t="s">
        <v>284</v>
      </c>
      <c r="B712" s="13" t="s">
        <v>411</v>
      </c>
      <c r="C712" s="13" t="s">
        <v>400</v>
      </c>
      <c r="D712" s="14">
        <v>7.139400000000018</v>
      </c>
      <c r="E712" s="14">
        <v>5.7802908774675457</v>
      </c>
      <c r="F712" s="14" t="s">
        <v>250</v>
      </c>
      <c r="G712" s="14" t="s">
        <v>250</v>
      </c>
      <c r="H712" s="14" t="s">
        <v>250</v>
      </c>
      <c r="I712" s="14" t="s">
        <v>250</v>
      </c>
      <c r="J712" s="14" t="s">
        <v>250</v>
      </c>
    </row>
    <row r="713" spans="1:10" ht="15.75" x14ac:dyDescent="0.5">
      <c r="A713" s="13" t="s">
        <v>284</v>
      </c>
      <c r="B713" s="13" t="s">
        <v>412</v>
      </c>
      <c r="C713" s="13" t="s">
        <v>400</v>
      </c>
      <c r="D713" s="14">
        <v>760.72545968400175</v>
      </c>
      <c r="E713" s="14">
        <v>755.02226003046189</v>
      </c>
      <c r="F713" s="14">
        <v>675.64878429449175</v>
      </c>
      <c r="G713" s="14">
        <v>875.64704250093564</v>
      </c>
      <c r="H713" s="14">
        <v>1802.5765353166742</v>
      </c>
      <c r="I713" s="14">
        <v>3092.6772461467763</v>
      </c>
      <c r="J713" s="14">
        <v>4850.9697718084126</v>
      </c>
    </row>
    <row r="714" spans="1:10" ht="15.75" x14ac:dyDescent="0.5">
      <c r="A714" s="13" t="s">
        <v>284</v>
      </c>
      <c r="B714" s="13" t="s">
        <v>413</v>
      </c>
      <c r="C714" s="13" t="s">
        <v>400</v>
      </c>
      <c r="D714" s="14">
        <v>23.702927619886136</v>
      </c>
      <c r="E714" s="14">
        <v>20.74392979579078</v>
      </c>
      <c r="F714" s="14">
        <v>6.621750801616284</v>
      </c>
      <c r="G714" s="14">
        <v>2.8568527717894954</v>
      </c>
      <c r="H714" s="14">
        <v>1.6099429323487024</v>
      </c>
      <c r="I714" s="14">
        <v>0.44096788436101492</v>
      </c>
      <c r="J714" s="14" t="s">
        <v>250</v>
      </c>
    </row>
    <row r="715" spans="1:10" ht="15.75" x14ac:dyDescent="0.5">
      <c r="A715" s="13" t="s">
        <v>284</v>
      </c>
      <c r="B715" s="13" t="s">
        <v>414</v>
      </c>
      <c r="C715" s="13" t="s">
        <v>400</v>
      </c>
      <c r="D715" s="14">
        <v>0.68039077051095009</v>
      </c>
      <c r="E715" s="14">
        <v>25.05158725667922</v>
      </c>
      <c r="F715" s="14">
        <v>94.524950517599606</v>
      </c>
      <c r="G715" s="14">
        <v>188.54662274798028</v>
      </c>
      <c r="H715" s="14">
        <v>240.61527339485377</v>
      </c>
      <c r="I715" s="14">
        <v>241.22874180834978</v>
      </c>
      <c r="J715" s="14">
        <v>241.66693353227606</v>
      </c>
    </row>
    <row r="716" spans="1:10" ht="15.75" x14ac:dyDescent="0.5">
      <c r="A716" s="13" t="s">
        <v>284</v>
      </c>
      <c r="B716" s="13" t="s">
        <v>415</v>
      </c>
      <c r="C716" s="13" t="s">
        <v>400</v>
      </c>
      <c r="D716" s="14">
        <v>440.53124483255556</v>
      </c>
      <c r="E716" s="14">
        <v>864.33807508465702</v>
      </c>
      <c r="F716" s="14">
        <v>1317.9399278244803</v>
      </c>
      <c r="G716" s="14">
        <v>1372.2539530131937</v>
      </c>
      <c r="H716" s="14">
        <v>1443.7635666924609</v>
      </c>
      <c r="I716" s="14">
        <v>1472.9782814969294</v>
      </c>
      <c r="J716" s="14">
        <v>1479.5782612431415</v>
      </c>
    </row>
    <row r="717" spans="1:10" ht="15.75" x14ac:dyDescent="0.5">
      <c r="A717" s="13" t="s">
        <v>284</v>
      </c>
      <c r="B717" s="13" t="s">
        <v>416</v>
      </c>
      <c r="C717" s="13" t="s">
        <v>400</v>
      </c>
      <c r="D717" s="14" t="s">
        <v>250</v>
      </c>
      <c r="E717" s="14">
        <v>54.174742594981005</v>
      </c>
      <c r="F717" s="14">
        <v>66.675949052097494</v>
      </c>
      <c r="G717" s="14">
        <v>76.801435170202126</v>
      </c>
      <c r="H717" s="14">
        <v>77.990654991853731</v>
      </c>
      <c r="I717" s="14">
        <v>82.683057309487637</v>
      </c>
      <c r="J717" s="14">
        <v>94.727837483420956</v>
      </c>
    </row>
    <row r="718" spans="1:10" ht="15.75" x14ac:dyDescent="0.5">
      <c r="A718" s="13" t="s">
        <v>284</v>
      </c>
      <c r="B718" s="13" t="s">
        <v>417</v>
      </c>
      <c r="C718" s="13" t="s">
        <v>400</v>
      </c>
      <c r="D718" s="14">
        <v>187.48709633408697</v>
      </c>
      <c r="E718" s="14">
        <v>301.27702622378956</v>
      </c>
      <c r="F718" s="14">
        <v>343.21071830874564</v>
      </c>
      <c r="G718" s="14">
        <v>388.44191833861936</v>
      </c>
      <c r="H718" s="14">
        <v>441.29760388426871</v>
      </c>
      <c r="I718" s="14">
        <v>575.63413829907347</v>
      </c>
      <c r="J718" s="14">
        <v>787.94293711148589</v>
      </c>
    </row>
    <row r="719" spans="1:10" ht="15.75" x14ac:dyDescent="0.5">
      <c r="A719" s="13" t="s">
        <v>284</v>
      </c>
      <c r="B719" s="13" t="s">
        <v>418</v>
      </c>
      <c r="C719" s="13" t="s">
        <v>400</v>
      </c>
      <c r="D719" s="14">
        <v>3.184175173101953</v>
      </c>
      <c r="E719" s="14">
        <v>3.1841751731019534</v>
      </c>
      <c r="F719" s="14">
        <v>3.184175173101953</v>
      </c>
      <c r="G719" s="14">
        <v>3.1841751731019534</v>
      </c>
      <c r="H719" s="14">
        <v>3.1841751731019539</v>
      </c>
      <c r="I719" s="14">
        <v>3.184175173101953</v>
      </c>
      <c r="J719" s="14">
        <v>3.184175173101953</v>
      </c>
    </row>
    <row r="720" spans="1:10" ht="15.75" x14ac:dyDescent="0.5">
      <c r="A720" s="13" t="s">
        <v>284</v>
      </c>
      <c r="B720" s="13" t="s">
        <v>419</v>
      </c>
      <c r="C720" s="13" t="s">
        <v>400</v>
      </c>
      <c r="D720" s="14">
        <v>0.54465920264079493</v>
      </c>
      <c r="E720" s="14">
        <v>8.3975552149850348</v>
      </c>
      <c r="F720" s="14">
        <v>21.19894357927944</v>
      </c>
      <c r="G720" s="14">
        <v>25.975179282689012</v>
      </c>
      <c r="H720" s="14">
        <v>25.742535981290988</v>
      </c>
      <c r="I720" s="14">
        <v>31.811677224110433</v>
      </c>
      <c r="J720" s="14">
        <v>87.079448288188544</v>
      </c>
    </row>
    <row r="721" spans="1:10" ht="15.75" x14ac:dyDescent="0.5">
      <c r="A721" s="13" t="s">
        <v>284</v>
      </c>
      <c r="B721" s="13" t="s">
        <v>420</v>
      </c>
      <c r="C721" s="13" t="s">
        <v>400</v>
      </c>
      <c r="D721" s="14">
        <v>-13.98725295780838</v>
      </c>
      <c r="E721" s="14">
        <v>-14.022118972329665</v>
      </c>
      <c r="F721" s="14">
        <v>-14.21422291324377</v>
      </c>
      <c r="G721" s="14">
        <v>-12.208846508588788</v>
      </c>
      <c r="H721" s="14">
        <v>-12.506481924672141</v>
      </c>
      <c r="I721" s="14">
        <v>-16.388797880308626</v>
      </c>
      <c r="J721" s="14">
        <v>-18.540284567582667</v>
      </c>
    </row>
    <row r="722" spans="1:10" ht="15.75" x14ac:dyDescent="0.5">
      <c r="A722" s="13" t="s">
        <v>285</v>
      </c>
      <c r="B722" s="13" t="s">
        <v>399</v>
      </c>
      <c r="C722" s="13" t="s">
        <v>400</v>
      </c>
      <c r="D722" s="14">
        <v>7.2499064625597898</v>
      </c>
      <c r="E722" s="14">
        <v>4.2389343065693544E-2</v>
      </c>
      <c r="F722" s="14">
        <v>0.51246000000000125</v>
      </c>
      <c r="G722" s="14">
        <v>2.253462394160588</v>
      </c>
      <c r="H722" s="14">
        <v>2.669626879940727</v>
      </c>
      <c r="I722" s="14">
        <v>3.3145681159392981</v>
      </c>
      <c r="J722" s="14">
        <v>4.3645623065693524</v>
      </c>
    </row>
    <row r="723" spans="1:10" ht="15.75" x14ac:dyDescent="0.5">
      <c r="A723" s="13" t="s">
        <v>285</v>
      </c>
      <c r="B723" s="13" t="s">
        <v>401</v>
      </c>
      <c r="C723" s="13" t="s">
        <v>400</v>
      </c>
      <c r="D723" s="14" t="s">
        <v>250</v>
      </c>
      <c r="E723" s="14" t="s">
        <v>250</v>
      </c>
      <c r="F723" s="14">
        <v>121.29659468046047</v>
      </c>
      <c r="G723" s="14">
        <v>121.29659468046047</v>
      </c>
      <c r="H723" s="14">
        <v>19.681219587304902</v>
      </c>
      <c r="I723" s="14">
        <v>19.559341049039048</v>
      </c>
      <c r="J723" s="14" t="s">
        <v>250</v>
      </c>
    </row>
    <row r="724" spans="1:10" ht="15.75" x14ac:dyDescent="0.5">
      <c r="A724" s="13" t="s">
        <v>285</v>
      </c>
      <c r="B724" s="13" t="s">
        <v>402</v>
      </c>
      <c r="C724" s="13" t="s">
        <v>400</v>
      </c>
      <c r="D724" s="14">
        <v>1072.9916742877469</v>
      </c>
      <c r="E724" s="14">
        <v>405.00934619100053</v>
      </c>
      <c r="F724" s="14">
        <v>178.44019375758691</v>
      </c>
      <c r="G724" s="14">
        <v>174.97835203055686</v>
      </c>
      <c r="H724" s="14">
        <v>196.89651086854303</v>
      </c>
      <c r="I724" s="14">
        <v>41.292896289819538</v>
      </c>
      <c r="J724" s="14" t="s">
        <v>250</v>
      </c>
    </row>
    <row r="725" spans="1:10" ht="15.75" x14ac:dyDescent="0.5">
      <c r="A725" s="13" t="s">
        <v>285</v>
      </c>
      <c r="B725" s="13" t="s">
        <v>403</v>
      </c>
      <c r="C725" s="13" t="s">
        <v>400</v>
      </c>
      <c r="D725" s="14" t="s">
        <v>250</v>
      </c>
      <c r="E725" s="14" t="s">
        <v>250</v>
      </c>
      <c r="F725" s="14">
        <v>28.861556994347136</v>
      </c>
      <c r="G725" s="14">
        <v>28.861556994347136</v>
      </c>
      <c r="H725" s="14">
        <v>5.7928959954509649</v>
      </c>
      <c r="I725" s="14">
        <v>5.7928959954509649</v>
      </c>
      <c r="J725" s="14" t="s">
        <v>250</v>
      </c>
    </row>
    <row r="726" spans="1:10" ht="15.75" x14ac:dyDescent="0.5">
      <c r="A726" s="13" t="s">
        <v>285</v>
      </c>
      <c r="B726" s="13" t="s">
        <v>404</v>
      </c>
      <c r="C726" s="13" t="s">
        <v>400</v>
      </c>
      <c r="D726" s="14" t="s">
        <v>250</v>
      </c>
      <c r="E726" s="14" t="s">
        <v>250</v>
      </c>
      <c r="F726" s="14" t="s">
        <v>250</v>
      </c>
      <c r="G726" s="14" t="s">
        <v>250</v>
      </c>
      <c r="H726" s="14" t="s">
        <v>250</v>
      </c>
      <c r="I726" s="14">
        <v>10.397408993363856</v>
      </c>
      <c r="J726" s="14">
        <v>121.48981269792615</v>
      </c>
    </row>
    <row r="727" spans="1:10" ht="15.75" x14ac:dyDescent="0.5">
      <c r="A727" s="13" t="s">
        <v>285</v>
      </c>
      <c r="B727" s="13" t="s">
        <v>421</v>
      </c>
      <c r="C727" s="13" t="s">
        <v>400</v>
      </c>
      <c r="D727" s="14" t="s">
        <v>250</v>
      </c>
      <c r="E727" s="14" t="s">
        <v>250</v>
      </c>
      <c r="F727" s="14" t="s">
        <v>250</v>
      </c>
      <c r="G727" s="14">
        <v>947.98666529269155</v>
      </c>
      <c r="H727" s="14">
        <v>2466.6188864634878</v>
      </c>
      <c r="I727" s="14">
        <v>2513.8048365519157</v>
      </c>
      <c r="J727" s="14">
        <v>1776.5796617500789</v>
      </c>
    </row>
    <row r="728" spans="1:10" ht="15.75" x14ac:dyDescent="0.5">
      <c r="A728" s="13" t="s">
        <v>285</v>
      </c>
      <c r="B728" s="13" t="s">
        <v>405</v>
      </c>
      <c r="C728" s="13" t="s">
        <v>400</v>
      </c>
      <c r="D728" s="14">
        <v>1259.3891290889953</v>
      </c>
      <c r="E728" s="14">
        <v>1333.7727808765912</v>
      </c>
      <c r="F728" s="14">
        <v>1394.2118301295077</v>
      </c>
      <c r="G728" s="14">
        <v>1079.8113707393179</v>
      </c>
      <c r="H728" s="14">
        <v>507.15434963518805</v>
      </c>
      <c r="I728" s="14">
        <v>452.60310583155581</v>
      </c>
      <c r="J728" s="14">
        <v>117.28961662610608</v>
      </c>
    </row>
    <row r="729" spans="1:10" ht="15.75" x14ac:dyDescent="0.5">
      <c r="A729" s="13" t="s">
        <v>285</v>
      </c>
      <c r="B729" s="13" t="s">
        <v>406</v>
      </c>
      <c r="C729" s="13" t="s">
        <v>400</v>
      </c>
      <c r="D729" s="14">
        <v>23.479196814299332</v>
      </c>
      <c r="E729" s="14">
        <v>22.464770240153307</v>
      </c>
      <c r="F729" s="14">
        <v>45.795216770290708</v>
      </c>
      <c r="G729" s="14">
        <v>50.295743701353764</v>
      </c>
      <c r="H729" s="14">
        <v>58.973372490224293</v>
      </c>
      <c r="I729" s="14">
        <v>79.026313948281555</v>
      </c>
      <c r="J729" s="14">
        <v>103.53295493093054</v>
      </c>
    </row>
    <row r="730" spans="1:10" ht="15.75" x14ac:dyDescent="0.5">
      <c r="A730" s="13" t="s">
        <v>285</v>
      </c>
      <c r="B730" s="13" t="s">
        <v>407</v>
      </c>
      <c r="C730" s="13" t="s">
        <v>400</v>
      </c>
      <c r="D730" s="14" t="s">
        <v>250</v>
      </c>
      <c r="E730" s="14">
        <v>115.48329203501288</v>
      </c>
      <c r="F730" s="14">
        <v>145.24991116851066</v>
      </c>
      <c r="G730" s="14">
        <v>255.84105634955677</v>
      </c>
      <c r="H730" s="14">
        <v>239.56696792059103</v>
      </c>
      <c r="I730" s="14">
        <v>456.08121523757131</v>
      </c>
      <c r="J730" s="14">
        <v>607.09068816667866</v>
      </c>
    </row>
    <row r="731" spans="1:10" ht="15.75" x14ac:dyDescent="0.5">
      <c r="A731" s="13" t="s">
        <v>285</v>
      </c>
      <c r="B731" s="13" t="s">
        <v>408</v>
      </c>
      <c r="C731" s="13" t="s">
        <v>400</v>
      </c>
      <c r="D731" s="14">
        <v>46.892290321001219</v>
      </c>
      <c r="E731" s="14">
        <v>35.244216165216045</v>
      </c>
      <c r="F731" s="14">
        <v>32.137206672559053</v>
      </c>
      <c r="G731" s="14">
        <v>46.424657035190286</v>
      </c>
      <c r="H731" s="14">
        <v>41.84912733739214</v>
      </c>
      <c r="I731" s="14">
        <v>46.984905628067899</v>
      </c>
      <c r="J731" s="14">
        <v>46.655022131386936</v>
      </c>
    </row>
    <row r="732" spans="1:10" ht="15.75" x14ac:dyDescent="0.5">
      <c r="A732" s="13" t="s">
        <v>285</v>
      </c>
      <c r="B732" s="13" t="s">
        <v>409</v>
      </c>
      <c r="C732" s="13" t="s">
        <v>400</v>
      </c>
      <c r="D732" s="14">
        <v>18.365704270000037</v>
      </c>
      <c r="E732" s="14">
        <v>18.36570427000003</v>
      </c>
      <c r="F732" s="14">
        <v>18.36570427000003</v>
      </c>
      <c r="G732" s="14">
        <v>18.365704270000037</v>
      </c>
      <c r="H732" s="14">
        <v>18.365704270000037</v>
      </c>
      <c r="I732" s="14">
        <v>18.365704270000037</v>
      </c>
      <c r="J732" s="14">
        <v>18.365704270000041</v>
      </c>
    </row>
    <row r="733" spans="1:10" ht="15.75" x14ac:dyDescent="0.5">
      <c r="A733" s="13" t="s">
        <v>285</v>
      </c>
      <c r="B733" s="13" t="s">
        <v>410</v>
      </c>
      <c r="C733" s="13" t="s">
        <v>400</v>
      </c>
      <c r="D733" s="14">
        <v>245.79356253202212</v>
      </c>
      <c r="E733" s="14">
        <v>244.93746762224538</v>
      </c>
      <c r="F733" s="14">
        <v>246.12445039394683</v>
      </c>
      <c r="G733" s="14">
        <v>246.00195663922608</v>
      </c>
      <c r="H733" s="14">
        <v>246.16997594139255</v>
      </c>
      <c r="I733" s="14">
        <v>246.09986950782394</v>
      </c>
      <c r="J733" s="14">
        <v>246.16997594128526</v>
      </c>
    </row>
    <row r="734" spans="1:10" ht="15.75" x14ac:dyDescent="0.5">
      <c r="A734" s="13" t="s">
        <v>285</v>
      </c>
      <c r="B734" s="13" t="s">
        <v>411</v>
      </c>
      <c r="C734" s="13" t="s">
        <v>400</v>
      </c>
      <c r="D734" s="14">
        <v>7.1394000000000188</v>
      </c>
      <c r="E734" s="14">
        <v>5.8260569343065827</v>
      </c>
      <c r="F734" s="14">
        <v>1.9272000000000051</v>
      </c>
      <c r="G734" s="14" t="s">
        <v>250</v>
      </c>
      <c r="H734" s="14" t="s">
        <v>250</v>
      </c>
      <c r="I734" s="14" t="s">
        <v>250</v>
      </c>
      <c r="J734" s="14" t="s">
        <v>250</v>
      </c>
    </row>
    <row r="735" spans="1:10" ht="15.75" x14ac:dyDescent="0.5">
      <c r="A735" s="13" t="s">
        <v>285</v>
      </c>
      <c r="B735" s="13" t="s">
        <v>412</v>
      </c>
      <c r="C735" s="13" t="s">
        <v>400</v>
      </c>
      <c r="D735" s="14">
        <v>760.72545968400175</v>
      </c>
      <c r="E735" s="14">
        <v>747.72844547067541</v>
      </c>
      <c r="F735" s="14">
        <v>648.59644851503424</v>
      </c>
      <c r="G735" s="14">
        <v>711.59777455713925</v>
      </c>
      <c r="H735" s="14">
        <v>723.50114966975855</v>
      </c>
      <c r="I735" s="14">
        <v>749.70592922826029</v>
      </c>
      <c r="J735" s="14">
        <v>823.4824588753462</v>
      </c>
    </row>
    <row r="736" spans="1:10" ht="15.75" x14ac:dyDescent="0.5">
      <c r="A736" s="13" t="s">
        <v>285</v>
      </c>
      <c r="B736" s="13" t="s">
        <v>413</v>
      </c>
      <c r="C736" s="13" t="s">
        <v>400</v>
      </c>
      <c r="D736" s="14">
        <v>23.702927619886133</v>
      </c>
      <c r="E736" s="14">
        <v>21.788658240811294</v>
      </c>
      <c r="F736" s="14">
        <v>7.7827504051979641</v>
      </c>
      <c r="G736" s="14">
        <v>2.5561595626564499</v>
      </c>
      <c r="H736" s="14">
        <v>1.1606650037224728</v>
      </c>
      <c r="I736" s="14">
        <v>0.18289085632246696</v>
      </c>
      <c r="J736" s="14">
        <v>5.9597080291970833E-3</v>
      </c>
    </row>
    <row r="737" spans="1:10" ht="15.75" x14ac:dyDescent="0.5">
      <c r="A737" s="13" t="s">
        <v>285</v>
      </c>
      <c r="B737" s="13" t="s">
        <v>414</v>
      </c>
      <c r="C737" s="13" t="s">
        <v>400</v>
      </c>
      <c r="D737" s="14">
        <v>0.68039077051095032</v>
      </c>
      <c r="E737" s="14">
        <v>25.074602191723407</v>
      </c>
      <c r="F737" s="14">
        <v>94.587165583037418</v>
      </c>
      <c r="G737" s="14">
        <v>188.52842099984861</v>
      </c>
      <c r="H737" s="14">
        <v>240.56808172634084</v>
      </c>
      <c r="I737" s="14">
        <v>241.18141258344312</v>
      </c>
      <c r="J737" s="14">
        <v>241.61950605280236</v>
      </c>
    </row>
    <row r="738" spans="1:10" ht="15.75" x14ac:dyDescent="0.5">
      <c r="A738" s="13" t="s">
        <v>285</v>
      </c>
      <c r="B738" s="13" t="s">
        <v>415</v>
      </c>
      <c r="C738" s="13" t="s">
        <v>400</v>
      </c>
      <c r="D738" s="14">
        <v>440.53124483255556</v>
      </c>
      <c r="E738" s="14">
        <v>866.78933915089533</v>
      </c>
      <c r="F738" s="14">
        <v>1338.8963840827234</v>
      </c>
      <c r="G738" s="14">
        <v>1422.5195507038861</v>
      </c>
      <c r="H738" s="14">
        <v>1546.2401761462572</v>
      </c>
      <c r="I738" s="14">
        <v>1820.4599688712296</v>
      </c>
      <c r="J738" s="14">
        <v>2767.3164576927015</v>
      </c>
    </row>
    <row r="739" spans="1:10" ht="15.75" x14ac:dyDescent="0.5">
      <c r="A739" s="13" t="s">
        <v>285</v>
      </c>
      <c r="B739" s="13" t="s">
        <v>416</v>
      </c>
      <c r="C739" s="13" t="s">
        <v>400</v>
      </c>
      <c r="D739" s="14" t="s">
        <v>250</v>
      </c>
      <c r="E739" s="14">
        <v>54.174742594980977</v>
      </c>
      <c r="F739" s="14">
        <v>66.675949052097479</v>
      </c>
      <c r="G739" s="14">
        <v>76.801435170202097</v>
      </c>
      <c r="H739" s="14">
        <v>77.990654991853717</v>
      </c>
      <c r="I739" s="14">
        <v>82.683057309487666</v>
      </c>
      <c r="J739" s="14">
        <v>94.727837483420942</v>
      </c>
    </row>
    <row r="740" spans="1:10" ht="15.75" x14ac:dyDescent="0.5">
      <c r="A740" s="13" t="s">
        <v>285</v>
      </c>
      <c r="B740" s="13" t="s">
        <v>417</v>
      </c>
      <c r="C740" s="13" t="s">
        <v>400</v>
      </c>
      <c r="D740" s="14">
        <v>187.48709633408694</v>
      </c>
      <c r="E740" s="14">
        <v>301.27702622378945</v>
      </c>
      <c r="F740" s="14">
        <v>343.2107183087457</v>
      </c>
      <c r="G740" s="14">
        <v>407.95184527709841</v>
      </c>
      <c r="H740" s="14">
        <v>540.78598573956947</v>
      </c>
      <c r="I740" s="14">
        <v>1016.5222556852426</v>
      </c>
      <c r="J740" s="14">
        <v>1443.7810596724698</v>
      </c>
    </row>
    <row r="741" spans="1:10" ht="15.75" x14ac:dyDescent="0.5">
      <c r="A741" s="13" t="s">
        <v>285</v>
      </c>
      <c r="B741" s="13" t="s">
        <v>418</v>
      </c>
      <c r="C741" s="13" t="s">
        <v>400</v>
      </c>
      <c r="D741" s="14">
        <v>3.1841751731019534</v>
      </c>
      <c r="E741" s="14">
        <v>3.1841751731019539</v>
      </c>
      <c r="F741" s="14">
        <v>3.1841751731019534</v>
      </c>
      <c r="G741" s="14">
        <v>3.1841751731019534</v>
      </c>
      <c r="H741" s="14">
        <v>3.1841751731019539</v>
      </c>
      <c r="I741" s="14">
        <v>3.184175173101953</v>
      </c>
      <c r="J741" s="14">
        <v>3.184175173101953</v>
      </c>
    </row>
    <row r="742" spans="1:10" ht="15.75" x14ac:dyDescent="0.5">
      <c r="A742" s="13" t="s">
        <v>285</v>
      </c>
      <c r="B742" s="13" t="s">
        <v>419</v>
      </c>
      <c r="C742" s="13" t="s">
        <v>400</v>
      </c>
      <c r="D742" s="14">
        <v>0.54465920264079504</v>
      </c>
      <c r="E742" s="14">
        <v>8.4266218394931833</v>
      </c>
      <c r="F742" s="14">
        <v>21.625004056205345</v>
      </c>
      <c r="G742" s="14">
        <v>21.633607546630188</v>
      </c>
      <c r="H742" s="14">
        <v>37.972605243095899</v>
      </c>
      <c r="I742" s="14">
        <v>66.034021687479907</v>
      </c>
      <c r="J742" s="14">
        <v>291.06522097812996</v>
      </c>
    </row>
    <row r="743" spans="1:10" ht="15.75" x14ac:dyDescent="0.5">
      <c r="A743" s="13" t="s">
        <v>285</v>
      </c>
      <c r="B743" s="13" t="s">
        <v>420</v>
      </c>
      <c r="C743" s="13" t="s">
        <v>400</v>
      </c>
      <c r="D743" s="14">
        <v>-13.987252957808412</v>
      </c>
      <c r="E743" s="14">
        <v>-14.037141772158684</v>
      </c>
      <c r="F743" s="14">
        <v>-13.83740863081683</v>
      </c>
      <c r="G743" s="14">
        <v>-12.52545093203079</v>
      </c>
      <c r="H743" s="14">
        <v>-16.446779580560946</v>
      </c>
      <c r="I743" s="14">
        <v>-16.461538991745652</v>
      </c>
      <c r="J743" s="14">
        <v>-13.000475604709987</v>
      </c>
    </row>
    <row r="744" spans="1:10" ht="15.75" x14ac:dyDescent="0.5">
      <c r="A744" s="13" t="s">
        <v>286</v>
      </c>
      <c r="B744" s="13" t="s">
        <v>399</v>
      </c>
      <c r="C744" s="13" t="s">
        <v>400</v>
      </c>
      <c r="D744" s="14">
        <v>7.2499064625597889</v>
      </c>
      <c r="E744" s="14">
        <v>4.2389343065693544E-2</v>
      </c>
      <c r="F744" s="14">
        <v>0.51246000000000103</v>
      </c>
      <c r="G744" s="14">
        <v>2.2915302481751869</v>
      </c>
      <c r="H744" s="14">
        <v>3.1576130876462152</v>
      </c>
      <c r="I744" s="14">
        <v>3.0952937459168441</v>
      </c>
      <c r="J744" s="14">
        <v>3.039267848489783</v>
      </c>
    </row>
    <row r="745" spans="1:10" ht="15.75" x14ac:dyDescent="0.5">
      <c r="A745" s="13" t="s">
        <v>286</v>
      </c>
      <c r="B745" s="13" t="s">
        <v>401</v>
      </c>
      <c r="C745" s="13" t="s">
        <v>400</v>
      </c>
      <c r="D745" s="14" t="s">
        <v>250</v>
      </c>
      <c r="E745" s="14" t="s">
        <v>250</v>
      </c>
      <c r="F745" s="14">
        <v>121.06959707444223</v>
      </c>
      <c r="G745" s="14">
        <v>121.06959707444219</v>
      </c>
      <c r="H745" s="14">
        <v>18.617486379994755</v>
      </c>
      <c r="I745" s="14">
        <v>18.412558551829406</v>
      </c>
      <c r="J745" s="14" t="s">
        <v>250</v>
      </c>
    </row>
    <row r="746" spans="1:10" ht="15.75" x14ac:dyDescent="0.5">
      <c r="A746" s="13" t="s">
        <v>286</v>
      </c>
      <c r="B746" s="13" t="s">
        <v>402</v>
      </c>
      <c r="C746" s="13" t="s">
        <v>400</v>
      </c>
      <c r="D746" s="14">
        <v>1072.9916742877463</v>
      </c>
      <c r="E746" s="14">
        <v>404.58871866188935</v>
      </c>
      <c r="F746" s="14">
        <v>179.60818145102138</v>
      </c>
      <c r="G746" s="14">
        <v>176.50711016600596</v>
      </c>
      <c r="H746" s="14">
        <v>199.47757925749221</v>
      </c>
      <c r="I746" s="14">
        <v>47.09079780082218</v>
      </c>
      <c r="J746" s="14" t="s">
        <v>250</v>
      </c>
    </row>
    <row r="747" spans="1:10" ht="15.75" x14ac:dyDescent="0.5">
      <c r="A747" s="13" t="s">
        <v>286</v>
      </c>
      <c r="B747" s="13" t="s">
        <v>403</v>
      </c>
      <c r="C747" s="13" t="s">
        <v>400</v>
      </c>
      <c r="D747" s="14" t="s">
        <v>250</v>
      </c>
      <c r="E747" s="14" t="s">
        <v>250</v>
      </c>
      <c r="F747" s="14">
        <v>34.606949552454736</v>
      </c>
      <c r="G747" s="14">
        <v>34.606949552454729</v>
      </c>
      <c r="H747" s="14">
        <v>6.94129438977851</v>
      </c>
      <c r="I747" s="14">
        <v>6.9412943897785109</v>
      </c>
      <c r="J747" s="14" t="s">
        <v>250</v>
      </c>
    </row>
    <row r="748" spans="1:10" ht="15.75" x14ac:dyDescent="0.5">
      <c r="A748" s="13" t="s">
        <v>286</v>
      </c>
      <c r="B748" s="13" t="s">
        <v>404</v>
      </c>
      <c r="C748" s="13" t="s">
        <v>400</v>
      </c>
      <c r="D748" s="14" t="s">
        <v>250</v>
      </c>
      <c r="E748" s="14" t="s">
        <v>250</v>
      </c>
      <c r="F748" s="14" t="s">
        <v>250</v>
      </c>
      <c r="G748" s="14" t="s">
        <v>250</v>
      </c>
      <c r="H748" s="14" t="s">
        <v>250</v>
      </c>
      <c r="I748" s="14">
        <v>6.1964922734092127</v>
      </c>
      <c r="J748" s="14">
        <v>20.032095311227174</v>
      </c>
    </row>
    <row r="749" spans="1:10" ht="15.75" x14ac:dyDescent="0.5">
      <c r="A749" s="13" t="s">
        <v>286</v>
      </c>
      <c r="B749" s="13" t="s">
        <v>421</v>
      </c>
      <c r="C749" s="13" t="s">
        <v>400</v>
      </c>
      <c r="D749" s="14" t="s">
        <v>250</v>
      </c>
      <c r="E749" s="14" t="s">
        <v>250</v>
      </c>
      <c r="F749" s="14" t="s">
        <v>250</v>
      </c>
      <c r="G749" s="14">
        <v>942.53114904713595</v>
      </c>
      <c r="H749" s="14">
        <v>2476.80091867994</v>
      </c>
      <c r="I749" s="14">
        <v>2528.5638882253197</v>
      </c>
      <c r="J749" s="14">
        <v>519.67858169101669</v>
      </c>
    </row>
    <row r="750" spans="1:10" ht="15.75" x14ac:dyDescent="0.5">
      <c r="A750" s="13" t="s">
        <v>286</v>
      </c>
      <c r="B750" s="13" t="s">
        <v>405</v>
      </c>
      <c r="C750" s="13" t="s">
        <v>400</v>
      </c>
      <c r="D750" s="14">
        <v>1259.3891290889942</v>
      </c>
      <c r="E750" s="14">
        <v>1333.7472205988011</v>
      </c>
      <c r="F750" s="14">
        <v>1390.160178099826</v>
      </c>
      <c r="G750" s="14">
        <v>1074.6944117956029</v>
      </c>
      <c r="H750" s="14">
        <v>515.19720983398815</v>
      </c>
      <c r="I750" s="14">
        <v>438.75612581023705</v>
      </c>
      <c r="J750" s="14">
        <v>182.29759666813729</v>
      </c>
    </row>
    <row r="751" spans="1:10" ht="15.75" x14ac:dyDescent="0.5">
      <c r="A751" s="13" t="s">
        <v>286</v>
      </c>
      <c r="B751" s="13" t="s">
        <v>406</v>
      </c>
      <c r="C751" s="13" t="s">
        <v>400</v>
      </c>
      <c r="D751" s="14">
        <v>23.479196814299339</v>
      </c>
      <c r="E751" s="14">
        <v>22.137028166228866</v>
      </c>
      <c r="F751" s="14">
        <v>45.723710934389061</v>
      </c>
      <c r="G751" s="14">
        <v>49.864361722795088</v>
      </c>
      <c r="H751" s="14">
        <v>59.01575185464376</v>
      </c>
      <c r="I751" s="14">
        <v>77.214134291134712</v>
      </c>
      <c r="J751" s="14">
        <v>87.790595933920542</v>
      </c>
    </row>
    <row r="752" spans="1:10" ht="15.75" x14ac:dyDescent="0.5">
      <c r="A752" s="13" t="s">
        <v>286</v>
      </c>
      <c r="B752" s="13" t="s">
        <v>407</v>
      </c>
      <c r="C752" s="13" t="s">
        <v>400</v>
      </c>
      <c r="D752" s="14" t="s">
        <v>250</v>
      </c>
      <c r="E752" s="14">
        <v>116.03126981803659</v>
      </c>
      <c r="F752" s="14">
        <v>145.07250796504752</v>
      </c>
      <c r="G752" s="14">
        <v>261.8282056020148</v>
      </c>
      <c r="H752" s="14">
        <v>216.54929209135079</v>
      </c>
      <c r="I752" s="14">
        <v>425.79041972488835</v>
      </c>
      <c r="J752" s="14">
        <v>374.08279507875591</v>
      </c>
    </row>
    <row r="753" spans="1:10" ht="15.75" x14ac:dyDescent="0.5">
      <c r="A753" s="13" t="s">
        <v>286</v>
      </c>
      <c r="B753" s="13" t="s">
        <v>408</v>
      </c>
      <c r="C753" s="13" t="s">
        <v>400</v>
      </c>
      <c r="D753" s="14">
        <v>46.892290321001241</v>
      </c>
      <c r="E753" s="14">
        <v>35.31774009624479</v>
      </c>
      <c r="F753" s="14">
        <v>32.266899063036924</v>
      </c>
      <c r="G753" s="14">
        <v>46.403196200392514</v>
      </c>
      <c r="H753" s="14">
        <v>43.28807740231823</v>
      </c>
      <c r="I753" s="14">
        <v>46.837805781021984</v>
      </c>
      <c r="J753" s="14">
        <v>44.227467331918412</v>
      </c>
    </row>
    <row r="754" spans="1:10" ht="15.75" x14ac:dyDescent="0.5">
      <c r="A754" s="13" t="s">
        <v>286</v>
      </c>
      <c r="B754" s="13" t="s">
        <v>409</v>
      </c>
      <c r="C754" s="13" t="s">
        <v>400</v>
      </c>
      <c r="D754" s="14">
        <v>18.365704270000037</v>
      </c>
      <c r="E754" s="14">
        <v>18.365704270000037</v>
      </c>
      <c r="F754" s="14">
        <v>18.365704270000027</v>
      </c>
      <c r="G754" s="14">
        <v>18.365704270000037</v>
      </c>
      <c r="H754" s="14">
        <v>18.365704270000037</v>
      </c>
      <c r="I754" s="14">
        <v>18.365704270000034</v>
      </c>
      <c r="J754" s="14">
        <v>18.365704270000034</v>
      </c>
    </row>
    <row r="755" spans="1:10" ht="15.75" x14ac:dyDescent="0.5">
      <c r="A755" s="13" t="s">
        <v>286</v>
      </c>
      <c r="B755" s="13" t="s">
        <v>410</v>
      </c>
      <c r="C755" s="13" t="s">
        <v>400</v>
      </c>
      <c r="D755" s="14">
        <v>245.79356253202218</v>
      </c>
      <c r="E755" s="14">
        <v>244.90717424027392</v>
      </c>
      <c r="F755" s="14">
        <v>246.11991731613554</v>
      </c>
      <c r="G755" s="14">
        <v>246.01855478031098</v>
      </c>
      <c r="H755" s="14">
        <v>246.16997594139102</v>
      </c>
      <c r="I755" s="14">
        <v>246.12559151022305</v>
      </c>
      <c r="J755" s="14">
        <v>246.1286714885442</v>
      </c>
    </row>
    <row r="756" spans="1:10" ht="15.75" x14ac:dyDescent="0.5">
      <c r="A756" s="13" t="s">
        <v>286</v>
      </c>
      <c r="B756" s="13" t="s">
        <v>411</v>
      </c>
      <c r="C756" s="13" t="s">
        <v>400</v>
      </c>
      <c r="D756" s="14">
        <v>7.139400000000018</v>
      </c>
      <c r="E756" s="14">
        <v>5.8260569343065836</v>
      </c>
      <c r="F756" s="14">
        <v>1.9272000000000054</v>
      </c>
      <c r="G756" s="14" t="s">
        <v>250</v>
      </c>
      <c r="H756" s="14" t="s">
        <v>250</v>
      </c>
      <c r="I756" s="14" t="s">
        <v>250</v>
      </c>
      <c r="J756" s="14" t="s">
        <v>250</v>
      </c>
    </row>
    <row r="757" spans="1:10" ht="15.75" x14ac:dyDescent="0.5">
      <c r="A757" s="13" t="s">
        <v>286</v>
      </c>
      <c r="B757" s="13" t="s">
        <v>412</v>
      </c>
      <c r="C757" s="13" t="s">
        <v>400</v>
      </c>
      <c r="D757" s="14">
        <v>760.72545968400163</v>
      </c>
      <c r="E757" s="14">
        <v>747.70678458354041</v>
      </c>
      <c r="F757" s="14">
        <v>646.50707528003784</v>
      </c>
      <c r="G757" s="14">
        <v>711.23960149015352</v>
      </c>
      <c r="H757" s="14">
        <v>750.16853927179557</v>
      </c>
      <c r="I757" s="14">
        <v>878.17062198939516</v>
      </c>
      <c r="J757" s="14">
        <v>3020.6239921252254</v>
      </c>
    </row>
    <row r="758" spans="1:10" ht="15.75" x14ac:dyDescent="0.5">
      <c r="A758" s="13" t="s">
        <v>286</v>
      </c>
      <c r="B758" s="13" t="s">
        <v>413</v>
      </c>
      <c r="C758" s="13" t="s">
        <v>400</v>
      </c>
      <c r="D758" s="14">
        <v>23.70292761988614</v>
      </c>
      <c r="E758" s="14">
        <v>21.669725292039271</v>
      </c>
      <c r="F758" s="14">
        <v>7.6145062416903446</v>
      </c>
      <c r="G758" s="14">
        <v>2.5855640566126796</v>
      </c>
      <c r="H758" s="14">
        <v>1.0645058195199522</v>
      </c>
      <c r="I758" s="14">
        <v>0.14930471879648965</v>
      </c>
      <c r="J758" s="14" t="s">
        <v>250</v>
      </c>
    </row>
    <row r="759" spans="1:10" ht="15.75" x14ac:dyDescent="0.5">
      <c r="A759" s="13" t="s">
        <v>286</v>
      </c>
      <c r="B759" s="13" t="s">
        <v>414</v>
      </c>
      <c r="C759" s="13" t="s">
        <v>400</v>
      </c>
      <c r="D759" s="14">
        <v>0.6803907705109502</v>
      </c>
      <c r="E759" s="14">
        <v>25.078674012689014</v>
      </c>
      <c r="F759" s="14">
        <v>94.598592535395284</v>
      </c>
      <c r="G759" s="14">
        <v>188.52934829470823</v>
      </c>
      <c r="H759" s="14">
        <v>240.56901250945711</v>
      </c>
      <c r="I759" s="14">
        <v>241.18234607964771</v>
      </c>
      <c r="J759" s="14">
        <v>241.62044148692729</v>
      </c>
    </row>
    <row r="760" spans="1:10" ht="15.75" x14ac:dyDescent="0.5">
      <c r="A760" s="13" t="s">
        <v>286</v>
      </c>
      <c r="B760" s="13" t="s">
        <v>415</v>
      </c>
      <c r="C760" s="13" t="s">
        <v>400</v>
      </c>
      <c r="D760" s="14">
        <v>440.5312448325555</v>
      </c>
      <c r="E760" s="14">
        <v>866.78933897824993</v>
      </c>
      <c r="F760" s="14">
        <v>1336.9363993659229</v>
      </c>
      <c r="G760" s="14">
        <v>1417.6373419983991</v>
      </c>
      <c r="H760" s="14">
        <v>1531.1514871186509</v>
      </c>
      <c r="I760" s="14">
        <v>1750.2769345484405</v>
      </c>
      <c r="J760" s="14">
        <v>2120.3630078984661</v>
      </c>
    </row>
    <row r="761" spans="1:10" ht="15.75" x14ac:dyDescent="0.5">
      <c r="A761" s="13" t="s">
        <v>286</v>
      </c>
      <c r="B761" s="13" t="s">
        <v>416</v>
      </c>
      <c r="C761" s="13" t="s">
        <v>400</v>
      </c>
      <c r="D761" s="14" t="s">
        <v>250</v>
      </c>
      <c r="E761" s="14">
        <v>54.174742594981005</v>
      </c>
      <c r="F761" s="14">
        <v>66.675949052097494</v>
      </c>
      <c r="G761" s="14">
        <v>76.801435170202126</v>
      </c>
      <c r="H761" s="14">
        <v>77.990654991853731</v>
      </c>
      <c r="I761" s="14">
        <v>82.683057309487651</v>
      </c>
      <c r="J761" s="14">
        <v>94.72783748342097</v>
      </c>
    </row>
    <row r="762" spans="1:10" ht="15.75" x14ac:dyDescent="0.5">
      <c r="A762" s="13" t="s">
        <v>286</v>
      </c>
      <c r="B762" s="13" t="s">
        <v>417</v>
      </c>
      <c r="C762" s="13" t="s">
        <v>400</v>
      </c>
      <c r="D762" s="14">
        <v>187.48709633408691</v>
      </c>
      <c r="E762" s="14">
        <v>301.27702622378968</v>
      </c>
      <c r="F762" s="14">
        <v>343.21071830874553</v>
      </c>
      <c r="G762" s="14">
        <v>410.99394669363261</v>
      </c>
      <c r="H762" s="14">
        <v>529.08860633118832</v>
      </c>
      <c r="I762" s="14">
        <v>985.17072581541845</v>
      </c>
      <c r="J762" s="14">
        <v>1417.5810639810998</v>
      </c>
    </row>
    <row r="763" spans="1:10" ht="15.75" x14ac:dyDescent="0.5">
      <c r="A763" s="13" t="s">
        <v>286</v>
      </c>
      <c r="B763" s="13" t="s">
        <v>418</v>
      </c>
      <c r="C763" s="13" t="s">
        <v>400</v>
      </c>
      <c r="D763" s="14">
        <v>3.1841751731019539</v>
      </c>
      <c r="E763" s="14">
        <v>3.1841751731019539</v>
      </c>
      <c r="F763" s="14">
        <v>3.1841751731019534</v>
      </c>
      <c r="G763" s="14">
        <v>3.1841751731019539</v>
      </c>
      <c r="H763" s="14">
        <v>3.1841751731019525</v>
      </c>
      <c r="I763" s="14">
        <v>3.184175173101953</v>
      </c>
      <c r="J763" s="14">
        <v>3.1841751731019539</v>
      </c>
    </row>
    <row r="764" spans="1:10" ht="15.75" x14ac:dyDescent="0.5">
      <c r="A764" s="13" t="s">
        <v>286</v>
      </c>
      <c r="B764" s="13" t="s">
        <v>419</v>
      </c>
      <c r="C764" s="13" t="s">
        <v>400</v>
      </c>
      <c r="D764" s="14">
        <v>0.54465920264079504</v>
      </c>
      <c r="E764" s="14">
        <v>8.4723551708460825</v>
      </c>
      <c r="F764" s="14">
        <v>21.949485836109453</v>
      </c>
      <c r="G764" s="14">
        <v>22.166107257658886</v>
      </c>
      <c r="H764" s="14">
        <v>39.389696062337222</v>
      </c>
      <c r="I764" s="14">
        <v>54.832751694886539</v>
      </c>
      <c r="J764" s="14">
        <v>92.000422161804693</v>
      </c>
    </row>
    <row r="765" spans="1:10" ht="15.75" x14ac:dyDescent="0.5">
      <c r="A765" s="13" t="s">
        <v>286</v>
      </c>
      <c r="B765" s="13" t="s">
        <v>420</v>
      </c>
      <c r="C765" s="13" t="s">
        <v>400</v>
      </c>
      <c r="D765" s="14">
        <v>-13.987252957808359</v>
      </c>
      <c r="E765" s="14">
        <v>-14.016114931660539</v>
      </c>
      <c r="F765" s="14">
        <v>-13.838493057972553</v>
      </c>
      <c r="G765" s="14">
        <v>-12.619481177081406</v>
      </c>
      <c r="H765" s="14">
        <v>-16.561024884453929</v>
      </c>
      <c r="I765" s="14">
        <v>-17.468521550000901</v>
      </c>
      <c r="J765" s="14">
        <v>-14.110896240788957</v>
      </c>
    </row>
    <row r="766" spans="1:10" ht="15.75" x14ac:dyDescent="0.5">
      <c r="A766" s="13" t="s">
        <v>287</v>
      </c>
      <c r="B766" s="13" t="s">
        <v>399</v>
      </c>
      <c r="C766" s="13" t="s">
        <v>400</v>
      </c>
      <c r="D766" s="14">
        <v>7.2499064625597898</v>
      </c>
      <c r="E766" s="14">
        <v>0.29730534306569406</v>
      </c>
      <c r="F766" s="14">
        <v>0.51246000000000103</v>
      </c>
      <c r="G766" s="14">
        <v>2.2071797956204424</v>
      </c>
      <c r="H766" s="14">
        <v>2.4831787185301364</v>
      </c>
      <c r="I766" s="14">
        <v>1.6217610218978145</v>
      </c>
      <c r="J766" s="14">
        <v>6.7750948905109618E-2</v>
      </c>
    </row>
    <row r="767" spans="1:10" ht="15.75" x14ac:dyDescent="0.5">
      <c r="A767" s="13" t="s">
        <v>287</v>
      </c>
      <c r="B767" s="13" t="s">
        <v>401</v>
      </c>
      <c r="C767" s="13" t="s">
        <v>400</v>
      </c>
      <c r="D767" s="14" t="s">
        <v>250</v>
      </c>
      <c r="E767" s="14" t="s">
        <v>250</v>
      </c>
      <c r="F767" s="14">
        <v>129.02339558648509</v>
      </c>
      <c r="G767" s="14">
        <v>129.02339558648512</v>
      </c>
      <c r="H767" s="14">
        <v>19.823935472960649</v>
      </c>
      <c r="I767" s="14">
        <v>17.952873803280735</v>
      </c>
      <c r="J767" s="14" t="s">
        <v>250</v>
      </c>
    </row>
    <row r="768" spans="1:10" ht="15.75" x14ac:dyDescent="0.5">
      <c r="A768" s="13" t="s">
        <v>287</v>
      </c>
      <c r="B768" s="13" t="s">
        <v>402</v>
      </c>
      <c r="C768" s="13" t="s">
        <v>400</v>
      </c>
      <c r="D768" s="14">
        <v>1072.9916742877465</v>
      </c>
      <c r="E768" s="14">
        <v>404.10225789611707</v>
      </c>
      <c r="F768" s="14">
        <v>168.66503910141591</v>
      </c>
      <c r="G768" s="14">
        <v>146.55367802939281</v>
      </c>
      <c r="H768" s="14">
        <v>180.60993141647126</v>
      </c>
      <c r="I768" s="14">
        <v>55.009856532516238</v>
      </c>
      <c r="J768" s="14" t="s">
        <v>250</v>
      </c>
    </row>
    <row r="769" spans="1:10" ht="15.75" x14ac:dyDescent="0.5">
      <c r="A769" s="13" t="s">
        <v>287</v>
      </c>
      <c r="B769" s="13" t="s">
        <v>403</v>
      </c>
      <c r="C769" s="13" t="s">
        <v>400</v>
      </c>
      <c r="D769" s="14" t="s">
        <v>250</v>
      </c>
      <c r="E769" s="14" t="s">
        <v>250</v>
      </c>
      <c r="F769" s="14">
        <v>55.111431763974728</v>
      </c>
      <c r="G769" s="14">
        <v>55.111431763974736</v>
      </c>
      <c r="H769" s="14">
        <v>11.066960271679953</v>
      </c>
      <c r="I769" s="14">
        <v>11.066960271679951</v>
      </c>
      <c r="J769" s="14" t="s">
        <v>250</v>
      </c>
    </row>
    <row r="770" spans="1:10" ht="15.75" x14ac:dyDescent="0.5">
      <c r="A770" s="13" t="s">
        <v>287</v>
      </c>
      <c r="B770" s="13" t="s">
        <v>404</v>
      </c>
      <c r="C770" s="13" t="s">
        <v>400</v>
      </c>
      <c r="D770" s="14" t="s">
        <v>250</v>
      </c>
      <c r="E770" s="14" t="s">
        <v>250</v>
      </c>
      <c r="F770" s="14" t="s">
        <v>250</v>
      </c>
      <c r="G770" s="14" t="s">
        <v>250</v>
      </c>
      <c r="H770" s="14" t="s">
        <v>250</v>
      </c>
      <c r="I770" s="14">
        <v>0.33069896914528535</v>
      </c>
      <c r="J770" s="14">
        <v>8.4244811383379155</v>
      </c>
    </row>
    <row r="771" spans="1:10" ht="15.75" x14ac:dyDescent="0.5">
      <c r="A771" s="13" t="s">
        <v>287</v>
      </c>
      <c r="B771" s="13" t="s">
        <v>421</v>
      </c>
      <c r="C771" s="13" t="s">
        <v>400</v>
      </c>
      <c r="D771" s="14" t="s">
        <v>250</v>
      </c>
      <c r="E771" s="14" t="s">
        <v>250</v>
      </c>
      <c r="F771" s="14" t="s">
        <v>250</v>
      </c>
      <c r="G771" s="14">
        <v>813.99139784818794</v>
      </c>
      <c r="H771" s="14">
        <v>2191.2783101516738</v>
      </c>
      <c r="I771" s="14">
        <v>2182.8463187989732</v>
      </c>
      <c r="J771" s="14">
        <v>369.28751671213217</v>
      </c>
    </row>
    <row r="772" spans="1:10" ht="15.75" x14ac:dyDescent="0.5">
      <c r="A772" s="13" t="s">
        <v>287</v>
      </c>
      <c r="B772" s="13" t="s">
        <v>405</v>
      </c>
      <c r="C772" s="13" t="s">
        <v>400</v>
      </c>
      <c r="D772" s="14">
        <v>1259.3891290889942</v>
      </c>
      <c r="E772" s="14">
        <v>1328.8233960501927</v>
      </c>
      <c r="F772" s="14">
        <v>1371.6836427346022</v>
      </c>
      <c r="G772" s="14">
        <v>1154.0449452801479</v>
      </c>
      <c r="H772" s="14">
        <v>585.18195121842496</v>
      </c>
      <c r="I772" s="14">
        <v>446.34470092701696</v>
      </c>
      <c r="J772" s="14">
        <v>203.54762307553608</v>
      </c>
    </row>
    <row r="773" spans="1:10" ht="15.75" x14ac:dyDescent="0.5">
      <c r="A773" s="13" t="s">
        <v>287</v>
      </c>
      <c r="B773" s="13" t="s">
        <v>406</v>
      </c>
      <c r="C773" s="13" t="s">
        <v>400</v>
      </c>
      <c r="D773" s="14">
        <v>23.479196814299332</v>
      </c>
      <c r="E773" s="14">
        <v>22.307640240055004</v>
      </c>
      <c r="F773" s="14">
        <v>45.461718216383872</v>
      </c>
      <c r="G773" s="14">
        <v>49.261084665827589</v>
      </c>
      <c r="H773" s="14">
        <v>58.771370826216916</v>
      </c>
      <c r="I773" s="14">
        <v>66.226619487838448</v>
      </c>
      <c r="J773" s="14">
        <v>77.319002953524802</v>
      </c>
    </row>
    <row r="774" spans="1:10" ht="15.75" x14ac:dyDescent="0.5">
      <c r="A774" s="13" t="s">
        <v>287</v>
      </c>
      <c r="B774" s="13" t="s">
        <v>407</v>
      </c>
      <c r="C774" s="13" t="s">
        <v>400</v>
      </c>
      <c r="D774" s="14" t="s">
        <v>250</v>
      </c>
      <c r="E774" s="14">
        <v>116.81059647155503</v>
      </c>
      <c r="F774" s="14">
        <v>138.16735427009442</v>
      </c>
      <c r="G774" s="14">
        <v>291.2205151778947</v>
      </c>
      <c r="H774" s="14">
        <v>157.71928726280109</v>
      </c>
      <c r="I774" s="14">
        <v>146.85148405371106</v>
      </c>
      <c r="J774" s="14">
        <v>120.27107681293226</v>
      </c>
    </row>
    <row r="775" spans="1:10" ht="15.75" x14ac:dyDescent="0.5">
      <c r="A775" s="13" t="s">
        <v>287</v>
      </c>
      <c r="B775" s="13" t="s">
        <v>408</v>
      </c>
      <c r="C775" s="13" t="s">
        <v>400</v>
      </c>
      <c r="D775" s="14">
        <v>46.892290321001219</v>
      </c>
      <c r="E775" s="14">
        <v>35.217518208968109</v>
      </c>
      <c r="F775" s="14">
        <v>32.046968184661239</v>
      </c>
      <c r="G775" s="14">
        <v>46.57970760563402</v>
      </c>
      <c r="H775" s="14">
        <v>44.327968849124517</v>
      </c>
      <c r="I775" s="14">
        <v>42.974877181893156</v>
      </c>
      <c r="J775" s="14">
        <v>37.04498698490859</v>
      </c>
    </row>
    <row r="776" spans="1:10" ht="15.75" x14ac:dyDescent="0.5">
      <c r="A776" s="13" t="s">
        <v>287</v>
      </c>
      <c r="B776" s="13" t="s">
        <v>409</v>
      </c>
      <c r="C776" s="13" t="s">
        <v>400</v>
      </c>
      <c r="D776" s="14">
        <v>18.365704270000037</v>
      </c>
      <c r="E776" s="14">
        <v>18.365704270000034</v>
      </c>
      <c r="F776" s="14">
        <v>18.365704270000034</v>
      </c>
      <c r="G776" s="14">
        <v>18.365704270000037</v>
      </c>
      <c r="H776" s="14">
        <v>18.365704270000034</v>
      </c>
      <c r="I776" s="14">
        <v>18.365704270000037</v>
      </c>
      <c r="J776" s="14">
        <v>18.36570427000003</v>
      </c>
    </row>
    <row r="777" spans="1:10" ht="15.75" x14ac:dyDescent="0.5">
      <c r="A777" s="13" t="s">
        <v>287</v>
      </c>
      <c r="B777" s="13" t="s">
        <v>410</v>
      </c>
      <c r="C777" s="13" t="s">
        <v>400</v>
      </c>
      <c r="D777" s="14">
        <v>245.79356253202215</v>
      </c>
      <c r="E777" s="14">
        <v>244.943617402521</v>
      </c>
      <c r="F777" s="14">
        <v>246.09565516364657</v>
      </c>
      <c r="G777" s="14">
        <v>246.14973280241287</v>
      </c>
      <c r="H777" s="14">
        <v>246.16997594138613</v>
      </c>
      <c r="I777" s="14">
        <v>246.16917280240662</v>
      </c>
      <c r="J777" s="14">
        <v>246.16917280240833</v>
      </c>
    </row>
    <row r="778" spans="1:10" ht="15.75" x14ac:dyDescent="0.5">
      <c r="A778" s="13" t="s">
        <v>287</v>
      </c>
      <c r="B778" s="13" t="s">
        <v>411</v>
      </c>
      <c r="C778" s="13" t="s">
        <v>400</v>
      </c>
      <c r="D778" s="14">
        <v>7.1394000000000197</v>
      </c>
      <c r="E778" s="14">
        <v>5.8260569343065836</v>
      </c>
      <c r="F778" s="14">
        <v>1.9272000000000054</v>
      </c>
      <c r="G778" s="14" t="s">
        <v>250</v>
      </c>
      <c r="H778" s="14" t="s">
        <v>250</v>
      </c>
      <c r="I778" s="14" t="s">
        <v>250</v>
      </c>
      <c r="J778" s="14" t="s">
        <v>250</v>
      </c>
    </row>
    <row r="779" spans="1:10" ht="15.75" x14ac:dyDescent="0.5">
      <c r="A779" s="13" t="s">
        <v>287</v>
      </c>
      <c r="B779" s="13" t="s">
        <v>412</v>
      </c>
      <c r="C779" s="13" t="s">
        <v>400</v>
      </c>
      <c r="D779" s="14">
        <v>760.72545968400163</v>
      </c>
      <c r="E779" s="14">
        <v>754.97548658739709</v>
      </c>
      <c r="F779" s="14">
        <v>672.26960753844446</v>
      </c>
      <c r="G779" s="14">
        <v>797.80858951299967</v>
      </c>
      <c r="H779" s="14">
        <v>1209.6705684283265</v>
      </c>
      <c r="I779" s="14">
        <v>2228.4700892457367</v>
      </c>
      <c r="J779" s="14">
        <v>4479.8629354006325</v>
      </c>
    </row>
    <row r="780" spans="1:10" ht="15.75" x14ac:dyDescent="0.5">
      <c r="A780" s="13" t="s">
        <v>287</v>
      </c>
      <c r="B780" s="13" t="s">
        <v>413</v>
      </c>
      <c r="C780" s="13" t="s">
        <v>400</v>
      </c>
      <c r="D780" s="14">
        <v>23.70292761988614</v>
      </c>
      <c r="E780" s="14">
        <v>21.933763537627435</v>
      </c>
      <c r="F780" s="14">
        <v>7.2725628165481719</v>
      </c>
      <c r="G780" s="14">
        <v>2.613880840244073</v>
      </c>
      <c r="H780" s="14">
        <v>1.6902679528398488</v>
      </c>
      <c r="I780" s="14">
        <v>0.32088001447819398</v>
      </c>
      <c r="J780" s="14" t="s">
        <v>250</v>
      </c>
    </row>
    <row r="781" spans="1:10" ht="15.75" x14ac:dyDescent="0.5">
      <c r="A781" s="13" t="s">
        <v>287</v>
      </c>
      <c r="B781" s="13" t="s">
        <v>414</v>
      </c>
      <c r="C781" s="13" t="s">
        <v>400</v>
      </c>
      <c r="D781" s="14">
        <v>0.6803907705109502</v>
      </c>
      <c r="E781" s="14">
        <v>25.048036032803704</v>
      </c>
      <c r="F781" s="14">
        <v>94.523349122119228</v>
      </c>
      <c r="G781" s="14">
        <v>188.56261878673209</v>
      </c>
      <c r="H781" s="14">
        <v>240.62124361595198</v>
      </c>
      <c r="I781" s="14">
        <v>241.23472943171643</v>
      </c>
      <c r="J781" s="14">
        <v>241.67293358583447</v>
      </c>
    </row>
    <row r="782" spans="1:10" ht="15.75" x14ac:dyDescent="0.5">
      <c r="A782" s="13" t="s">
        <v>287</v>
      </c>
      <c r="B782" s="13" t="s">
        <v>415</v>
      </c>
      <c r="C782" s="13" t="s">
        <v>400</v>
      </c>
      <c r="D782" s="14">
        <v>440.53124483255544</v>
      </c>
      <c r="E782" s="14">
        <v>864.19715604598844</v>
      </c>
      <c r="F782" s="14">
        <v>1317.9333408072423</v>
      </c>
      <c r="G782" s="14">
        <v>1372.0481597422149</v>
      </c>
      <c r="H782" s="14">
        <v>1443.7075089752482</v>
      </c>
      <c r="I782" s="14">
        <v>1479.4709768570015</v>
      </c>
      <c r="J782" s="14">
        <v>1488.5947828836383</v>
      </c>
    </row>
    <row r="783" spans="1:10" ht="15.75" x14ac:dyDescent="0.5">
      <c r="A783" s="13" t="s">
        <v>287</v>
      </c>
      <c r="B783" s="13" t="s">
        <v>416</v>
      </c>
      <c r="C783" s="13" t="s">
        <v>400</v>
      </c>
      <c r="D783" s="14" t="s">
        <v>250</v>
      </c>
      <c r="E783" s="14">
        <v>54.174742594980998</v>
      </c>
      <c r="F783" s="14">
        <v>66.675949052097494</v>
      </c>
      <c r="G783" s="14">
        <v>76.801435170202097</v>
      </c>
      <c r="H783" s="14">
        <v>77.990654991853717</v>
      </c>
      <c r="I783" s="14">
        <v>82.683057309487666</v>
      </c>
      <c r="J783" s="14">
        <v>94.727837483420956</v>
      </c>
    </row>
    <row r="784" spans="1:10" ht="15.75" x14ac:dyDescent="0.5">
      <c r="A784" s="13" t="s">
        <v>287</v>
      </c>
      <c r="B784" s="13" t="s">
        <v>417</v>
      </c>
      <c r="C784" s="13" t="s">
        <v>400</v>
      </c>
      <c r="D784" s="14">
        <v>187.48709633408694</v>
      </c>
      <c r="E784" s="14">
        <v>301.27702622378945</v>
      </c>
      <c r="F784" s="14">
        <v>343.21071830874553</v>
      </c>
      <c r="G784" s="14">
        <v>385.86211681822766</v>
      </c>
      <c r="H784" s="14">
        <v>438.52660394454773</v>
      </c>
      <c r="I784" s="14">
        <v>548.04443969111639</v>
      </c>
      <c r="J784" s="14">
        <v>1003.0970630972034</v>
      </c>
    </row>
    <row r="785" spans="1:10" ht="15.75" x14ac:dyDescent="0.5">
      <c r="A785" s="13" t="s">
        <v>287</v>
      </c>
      <c r="B785" s="13" t="s">
        <v>418</v>
      </c>
      <c r="C785" s="13" t="s">
        <v>400</v>
      </c>
      <c r="D785" s="14">
        <v>3.1841751731019534</v>
      </c>
      <c r="E785" s="14">
        <v>3.1841751731019539</v>
      </c>
      <c r="F785" s="14">
        <v>3.1841751731019539</v>
      </c>
      <c r="G785" s="14">
        <v>3.1841751731019534</v>
      </c>
      <c r="H785" s="14">
        <v>3.1841751731019534</v>
      </c>
      <c r="I785" s="14">
        <v>3.1841751731019534</v>
      </c>
      <c r="J785" s="14">
        <v>3.1841751731019539</v>
      </c>
    </row>
    <row r="786" spans="1:10" ht="15.75" x14ac:dyDescent="0.5">
      <c r="A786" s="13" t="s">
        <v>287</v>
      </c>
      <c r="B786" s="13" t="s">
        <v>419</v>
      </c>
      <c r="C786" s="13" t="s">
        <v>400</v>
      </c>
      <c r="D786" s="14">
        <v>0.54465920264079504</v>
      </c>
      <c r="E786" s="14">
        <v>8.4653292118383874</v>
      </c>
      <c r="F786" s="14">
        <v>21.320510923585971</v>
      </c>
      <c r="G786" s="14">
        <v>22.58330312097134</v>
      </c>
      <c r="H786" s="14">
        <v>27.89556566028088</v>
      </c>
      <c r="I786" s="14">
        <v>33.835581361688497</v>
      </c>
      <c r="J786" s="14">
        <v>73.389327298512967</v>
      </c>
    </row>
    <row r="787" spans="1:10" ht="15.75" x14ac:dyDescent="0.5">
      <c r="A787" s="13" t="s">
        <v>287</v>
      </c>
      <c r="B787" s="13" t="s">
        <v>420</v>
      </c>
      <c r="C787" s="13" t="s">
        <v>400</v>
      </c>
      <c r="D787" s="14">
        <v>-13.987252957808295</v>
      </c>
      <c r="E787" s="14">
        <v>-14.08381051229718</v>
      </c>
      <c r="F787" s="14">
        <v>-14.12075291417945</v>
      </c>
      <c r="G787" s="14">
        <v>-12.446301228416385</v>
      </c>
      <c r="H787" s="14">
        <v>-14.342582359192853</v>
      </c>
      <c r="I787" s="14">
        <v>-15.204468513444654</v>
      </c>
      <c r="J787" s="14">
        <v>-19.35924116151503</v>
      </c>
    </row>
    <row r="788" spans="1:10" ht="15.75" x14ac:dyDescent="0.5">
      <c r="A788" s="13" t="s">
        <v>288</v>
      </c>
      <c r="B788" s="13" t="s">
        <v>399</v>
      </c>
      <c r="C788" s="13" t="s">
        <v>400</v>
      </c>
      <c r="D788" s="14">
        <v>7.249906462559788</v>
      </c>
      <c r="E788" s="14">
        <v>4.2389343065693544E-2</v>
      </c>
      <c r="F788" s="14">
        <v>0.51246000000000125</v>
      </c>
      <c r="G788" s="14">
        <v>0.74757371165303022</v>
      </c>
      <c r="H788" s="14">
        <v>0.83303458833801547</v>
      </c>
      <c r="I788" s="14">
        <v>0.26019687591240925</v>
      </c>
      <c r="J788" s="14">
        <v>0.65382224596465677</v>
      </c>
    </row>
    <row r="789" spans="1:10" ht="15.75" x14ac:dyDescent="0.5">
      <c r="A789" s="13" t="s">
        <v>288</v>
      </c>
      <c r="B789" s="13" t="s">
        <v>401</v>
      </c>
      <c r="C789" s="13" t="s">
        <v>400</v>
      </c>
      <c r="D789" s="14" t="s">
        <v>250</v>
      </c>
      <c r="E789" s="14" t="s">
        <v>250</v>
      </c>
      <c r="F789" s="14">
        <v>100.57897595478498</v>
      </c>
      <c r="G789" s="14">
        <v>100.57897595478502</v>
      </c>
      <c r="H789" s="14">
        <v>2.8164963735782127</v>
      </c>
      <c r="I789" s="14" t="s">
        <v>250</v>
      </c>
      <c r="J789" s="14" t="s">
        <v>250</v>
      </c>
    </row>
    <row r="790" spans="1:10" ht="15.75" x14ac:dyDescent="0.5">
      <c r="A790" s="13" t="s">
        <v>288</v>
      </c>
      <c r="B790" s="13" t="s">
        <v>402</v>
      </c>
      <c r="C790" s="13" t="s">
        <v>400</v>
      </c>
      <c r="D790" s="14">
        <v>1072.9916742877465</v>
      </c>
      <c r="E790" s="14">
        <v>402.82507506002042</v>
      </c>
      <c r="F790" s="14">
        <v>203.68870249403111</v>
      </c>
      <c r="G790" s="14">
        <v>295.37115170185155</v>
      </c>
      <c r="H790" s="14">
        <v>187.72903229220017</v>
      </c>
      <c r="I790" s="14">
        <v>56.715499396950051</v>
      </c>
      <c r="J790" s="14">
        <v>51.796935690494038</v>
      </c>
    </row>
    <row r="791" spans="1:10" ht="15.75" x14ac:dyDescent="0.5">
      <c r="A791" s="13" t="s">
        <v>288</v>
      </c>
      <c r="B791" s="13" t="s">
        <v>403</v>
      </c>
      <c r="C791" s="13" t="s">
        <v>400</v>
      </c>
      <c r="D791" s="14" t="s">
        <v>250</v>
      </c>
      <c r="E791" s="14" t="s">
        <v>250</v>
      </c>
      <c r="F791" s="14">
        <v>29.083805050277643</v>
      </c>
      <c r="G791" s="14">
        <v>29.083805050277611</v>
      </c>
      <c r="H791" s="14">
        <v>5.9055512302226525</v>
      </c>
      <c r="I791" s="14">
        <v>2.7256302000000057</v>
      </c>
      <c r="J791" s="14" t="s">
        <v>250</v>
      </c>
    </row>
    <row r="792" spans="1:10" ht="15.75" x14ac:dyDescent="0.5">
      <c r="A792" s="13" t="s">
        <v>288</v>
      </c>
      <c r="B792" s="13" t="s">
        <v>405</v>
      </c>
      <c r="C792" s="13" t="s">
        <v>400</v>
      </c>
      <c r="D792" s="14">
        <v>1259.3891290889947</v>
      </c>
      <c r="E792" s="14">
        <v>1309.6620888342688</v>
      </c>
      <c r="F792" s="14">
        <v>1366.7138712590322</v>
      </c>
      <c r="G792" s="14">
        <v>1184.7240137461545</v>
      </c>
      <c r="H792" s="14">
        <v>1026.7593994358895</v>
      </c>
      <c r="I792" s="14">
        <v>648.17869724405659</v>
      </c>
      <c r="J792" s="14">
        <v>679.45682857667464</v>
      </c>
    </row>
    <row r="793" spans="1:10" ht="15.75" x14ac:dyDescent="0.5">
      <c r="A793" s="13" t="s">
        <v>288</v>
      </c>
      <c r="B793" s="13" t="s">
        <v>406</v>
      </c>
      <c r="C793" s="13" t="s">
        <v>400</v>
      </c>
      <c r="D793" s="14">
        <v>23.479196814299332</v>
      </c>
      <c r="E793" s="14">
        <v>23.190228401789113</v>
      </c>
      <c r="F793" s="14">
        <v>42.922397271163788</v>
      </c>
      <c r="G793" s="14">
        <v>40.712003866215078</v>
      </c>
      <c r="H793" s="14">
        <v>36.992598160798387</v>
      </c>
      <c r="I793" s="14">
        <v>33.628328397068664</v>
      </c>
      <c r="J793" s="14">
        <v>30.251816701235768</v>
      </c>
    </row>
    <row r="794" spans="1:10" ht="15.75" x14ac:dyDescent="0.5">
      <c r="A794" s="13" t="s">
        <v>288</v>
      </c>
      <c r="B794" s="13" t="s">
        <v>407</v>
      </c>
      <c r="C794" s="13" t="s">
        <v>400</v>
      </c>
      <c r="D794" s="14" t="s">
        <v>250</v>
      </c>
      <c r="E794" s="14">
        <v>143.29970269940497</v>
      </c>
      <c r="F794" s="14">
        <v>93.998188942791899</v>
      </c>
      <c r="G794" s="14">
        <v>138.572653343578</v>
      </c>
      <c r="H794" s="14" t="s">
        <v>250</v>
      </c>
      <c r="I794" s="14" t="s">
        <v>250</v>
      </c>
      <c r="J794" s="14" t="s">
        <v>250</v>
      </c>
    </row>
    <row r="795" spans="1:10" ht="15.75" x14ac:dyDescent="0.5">
      <c r="A795" s="13" t="s">
        <v>288</v>
      </c>
      <c r="B795" s="13" t="s">
        <v>408</v>
      </c>
      <c r="C795" s="13" t="s">
        <v>400</v>
      </c>
      <c r="D795" s="14">
        <v>46.892290321001234</v>
      </c>
      <c r="E795" s="14">
        <v>34.98080525222219</v>
      </c>
      <c r="F795" s="14">
        <v>30.788807224795619</v>
      </c>
      <c r="G795" s="14">
        <v>43.959491272793798</v>
      </c>
      <c r="H795" s="14">
        <v>41.203272315660094</v>
      </c>
      <c r="I795" s="14">
        <v>31.614409932709201</v>
      </c>
      <c r="J795" s="14">
        <v>28.917027872342253</v>
      </c>
    </row>
    <row r="796" spans="1:10" ht="15.75" x14ac:dyDescent="0.5">
      <c r="A796" s="13" t="s">
        <v>288</v>
      </c>
      <c r="B796" s="13" t="s">
        <v>409</v>
      </c>
      <c r="C796" s="13" t="s">
        <v>400</v>
      </c>
      <c r="D796" s="14">
        <v>18.365704270000034</v>
      </c>
      <c r="E796" s="14">
        <v>18.36570427000003</v>
      </c>
      <c r="F796" s="14">
        <v>18.365704270000037</v>
      </c>
      <c r="G796" s="14">
        <v>18.365704270000034</v>
      </c>
      <c r="H796" s="14">
        <v>18.365704270000034</v>
      </c>
      <c r="I796" s="14">
        <v>17.861832700390956</v>
      </c>
      <c r="J796" s="14">
        <v>17.47511042086219</v>
      </c>
    </row>
    <row r="797" spans="1:10" ht="15.75" x14ac:dyDescent="0.5">
      <c r="A797" s="13" t="s">
        <v>288</v>
      </c>
      <c r="B797" s="13" t="s">
        <v>410</v>
      </c>
      <c r="C797" s="13" t="s">
        <v>400</v>
      </c>
      <c r="D797" s="14">
        <v>245.79356253202212</v>
      </c>
      <c r="E797" s="14">
        <v>244.70915225846309</v>
      </c>
      <c r="F797" s="14">
        <v>246.08553419132224</v>
      </c>
      <c r="G797" s="14">
        <v>246.1699759413911</v>
      </c>
      <c r="H797" s="14">
        <v>246.16997594139093</v>
      </c>
      <c r="I797" s="14">
        <v>246.16997594139096</v>
      </c>
      <c r="J797" s="14">
        <v>245.69526826898226</v>
      </c>
    </row>
    <row r="798" spans="1:10" ht="15.75" x14ac:dyDescent="0.5">
      <c r="A798" s="13" t="s">
        <v>288</v>
      </c>
      <c r="B798" s="13" t="s">
        <v>411</v>
      </c>
      <c r="C798" s="13" t="s">
        <v>400</v>
      </c>
      <c r="D798" s="14">
        <v>7.139400000000018</v>
      </c>
      <c r="E798" s="14">
        <v>6.0948258760073069</v>
      </c>
      <c r="F798" s="14" t="s">
        <v>250</v>
      </c>
      <c r="G798" s="14" t="s">
        <v>250</v>
      </c>
      <c r="H798" s="14" t="s">
        <v>250</v>
      </c>
      <c r="I798" s="14" t="s">
        <v>250</v>
      </c>
      <c r="J798" s="14" t="s">
        <v>250</v>
      </c>
    </row>
    <row r="799" spans="1:10" ht="15.75" x14ac:dyDescent="0.5">
      <c r="A799" s="13" t="s">
        <v>288</v>
      </c>
      <c r="B799" s="13" t="s">
        <v>412</v>
      </c>
      <c r="C799" s="13" t="s">
        <v>400</v>
      </c>
      <c r="D799" s="14">
        <v>760.72545968400175</v>
      </c>
      <c r="E799" s="14">
        <v>748.69955757153434</v>
      </c>
      <c r="F799" s="14">
        <v>636.6337875426276</v>
      </c>
      <c r="G799" s="14">
        <v>679.60242330518031</v>
      </c>
      <c r="H799" s="14">
        <v>195.31297907628314</v>
      </c>
      <c r="I799" s="14">
        <v>4.8627529131367098</v>
      </c>
      <c r="J799" s="14">
        <v>6.0804592733547409</v>
      </c>
    </row>
    <row r="800" spans="1:10" ht="15.75" x14ac:dyDescent="0.5">
      <c r="A800" s="13" t="s">
        <v>288</v>
      </c>
      <c r="B800" s="13" t="s">
        <v>413</v>
      </c>
      <c r="C800" s="13" t="s">
        <v>400</v>
      </c>
      <c r="D800" s="14">
        <v>23.70292761988614</v>
      </c>
      <c r="E800" s="14">
        <v>19.548730763377723</v>
      </c>
      <c r="F800" s="14">
        <v>5.5964109833363542</v>
      </c>
      <c r="G800" s="14">
        <v>3.3559336778114952</v>
      </c>
      <c r="H800" s="14">
        <v>1.6989124279263905</v>
      </c>
      <c r="I800" s="14">
        <v>1.2719872906838368</v>
      </c>
      <c r="J800" s="14">
        <v>1.5341582095163222</v>
      </c>
    </row>
    <row r="801" spans="1:10" ht="15.75" x14ac:dyDescent="0.5">
      <c r="A801" s="13" t="s">
        <v>288</v>
      </c>
      <c r="B801" s="13" t="s">
        <v>414</v>
      </c>
      <c r="C801" s="13" t="s">
        <v>400</v>
      </c>
      <c r="D801" s="14">
        <v>0.6803907705109502</v>
      </c>
      <c r="E801" s="14">
        <v>24.426397150733408</v>
      </c>
      <c r="F801" s="14">
        <v>100.49276878542561</v>
      </c>
      <c r="G801" s="14">
        <v>206.74793571978688</v>
      </c>
      <c r="H801" s="14">
        <v>253.18876510584246</v>
      </c>
      <c r="I801" s="14">
        <v>254.70782658747601</v>
      </c>
      <c r="J801" s="14">
        <v>255.88407423450855</v>
      </c>
    </row>
    <row r="802" spans="1:10" ht="15.75" x14ac:dyDescent="0.5">
      <c r="A802" s="13" t="s">
        <v>288</v>
      </c>
      <c r="B802" s="13" t="s">
        <v>415</v>
      </c>
      <c r="C802" s="13" t="s">
        <v>400</v>
      </c>
      <c r="D802" s="14">
        <v>440.53124483255561</v>
      </c>
      <c r="E802" s="14">
        <v>874.90671795798721</v>
      </c>
      <c r="F802" s="14">
        <v>1377.8987718112746</v>
      </c>
      <c r="G802" s="14">
        <v>1518.9899814088526</v>
      </c>
      <c r="H802" s="14">
        <v>2378.6848597917929</v>
      </c>
      <c r="I802" s="14">
        <v>3694.3349743174654</v>
      </c>
      <c r="J802" s="14">
        <v>3736.8495714371311</v>
      </c>
    </row>
    <row r="803" spans="1:10" ht="15.75" x14ac:dyDescent="0.5">
      <c r="A803" s="13" t="s">
        <v>288</v>
      </c>
      <c r="B803" s="13" t="s">
        <v>416</v>
      </c>
      <c r="C803" s="13" t="s">
        <v>400</v>
      </c>
      <c r="D803" s="14" t="s">
        <v>250</v>
      </c>
      <c r="E803" s="14">
        <v>70.934498682900752</v>
      </c>
      <c r="F803" s="14">
        <v>100.19546122793696</v>
      </c>
      <c r="G803" s="14">
        <v>127.69344447727377</v>
      </c>
      <c r="H803" s="14">
        <v>145.88323771792338</v>
      </c>
      <c r="I803" s="14">
        <v>165.77906731373227</v>
      </c>
      <c r="J803" s="14">
        <v>186.28657305490816</v>
      </c>
    </row>
    <row r="804" spans="1:10" ht="15.75" x14ac:dyDescent="0.5">
      <c r="A804" s="13" t="s">
        <v>288</v>
      </c>
      <c r="B804" s="13" t="s">
        <v>417</v>
      </c>
      <c r="C804" s="13" t="s">
        <v>400</v>
      </c>
      <c r="D804" s="14">
        <v>187.48709633408694</v>
      </c>
      <c r="E804" s="14">
        <v>298.30786724466168</v>
      </c>
      <c r="F804" s="14">
        <v>339.94935565504687</v>
      </c>
      <c r="G804" s="14">
        <v>1146.3855004840389</v>
      </c>
      <c r="H804" s="14">
        <v>2855.0736530210429</v>
      </c>
      <c r="I804" s="14">
        <v>4170.7498148225368</v>
      </c>
      <c r="J804" s="14">
        <v>4309.832065368556</v>
      </c>
    </row>
    <row r="805" spans="1:10" ht="15.75" x14ac:dyDescent="0.5">
      <c r="A805" s="13" t="s">
        <v>288</v>
      </c>
      <c r="B805" s="13" t="s">
        <v>418</v>
      </c>
      <c r="C805" s="13" t="s">
        <v>400</v>
      </c>
      <c r="D805" s="14">
        <v>3.184175173101953</v>
      </c>
      <c r="E805" s="14">
        <v>3.1841751731019534</v>
      </c>
      <c r="F805" s="14">
        <v>3.184175173101953</v>
      </c>
      <c r="G805" s="14">
        <v>3.1841751731019534</v>
      </c>
      <c r="H805" s="14">
        <v>3.1841751731019534</v>
      </c>
      <c r="I805" s="14">
        <v>3.184175173101953</v>
      </c>
      <c r="J805" s="14">
        <v>3.1841751731019534</v>
      </c>
    </row>
    <row r="806" spans="1:10" ht="15.75" x14ac:dyDescent="0.5">
      <c r="A806" s="13" t="s">
        <v>288</v>
      </c>
      <c r="B806" s="13" t="s">
        <v>419</v>
      </c>
      <c r="C806" s="13" t="s">
        <v>400</v>
      </c>
      <c r="D806" s="14">
        <v>0.54465920264079504</v>
      </c>
      <c r="E806" s="14">
        <v>9.5609036683100062</v>
      </c>
      <c r="F806" s="14">
        <v>87.448364385036996</v>
      </c>
      <c r="G806" s="14">
        <v>262.99998732894062</v>
      </c>
      <c r="H806" s="14">
        <v>1174.3165337458965</v>
      </c>
      <c r="I806" s="14">
        <v>2430.7698841020879</v>
      </c>
      <c r="J806" s="14">
        <v>2597.5048039378435</v>
      </c>
    </row>
    <row r="807" spans="1:10" ht="15.75" x14ac:dyDescent="0.5">
      <c r="A807" s="13" t="s">
        <v>288</v>
      </c>
      <c r="B807" s="13" t="s">
        <v>420</v>
      </c>
      <c r="C807" s="13" t="s">
        <v>400</v>
      </c>
      <c r="D807" s="14">
        <v>-13.987252957808359</v>
      </c>
      <c r="E807" s="14">
        <v>-13.705305266388439</v>
      </c>
      <c r="F807" s="14">
        <v>-13.71569287461201</v>
      </c>
      <c r="G807" s="14">
        <v>-11.776103726729874</v>
      </c>
      <c r="H807" s="14">
        <v>-13.753091128796601</v>
      </c>
      <c r="I807" s="14">
        <v>-17.163218923831792</v>
      </c>
      <c r="J807" s="14">
        <v>-21.047903344212894</v>
      </c>
    </row>
    <row r="808" spans="1:10" ht="15.75" x14ac:dyDescent="0.5">
      <c r="A808" s="13" t="s">
        <v>289</v>
      </c>
      <c r="B808" s="13" t="s">
        <v>399</v>
      </c>
      <c r="C808" s="13" t="s">
        <v>400</v>
      </c>
      <c r="D808" s="14">
        <v>7.2499064625597889</v>
      </c>
      <c r="E808" s="14">
        <v>4.2389343065693544E-2</v>
      </c>
      <c r="F808" s="14">
        <v>0.51246000000000114</v>
      </c>
      <c r="G808" s="14">
        <v>0.7475737116530301</v>
      </c>
      <c r="H808" s="14">
        <v>0.83303458833801547</v>
      </c>
      <c r="I808" s="14">
        <v>0.26019687591240925</v>
      </c>
      <c r="J808" s="14">
        <v>0.65382124852308032</v>
      </c>
    </row>
    <row r="809" spans="1:10" ht="15.75" x14ac:dyDescent="0.5">
      <c r="A809" s="13" t="s">
        <v>289</v>
      </c>
      <c r="B809" s="13" t="s">
        <v>401</v>
      </c>
      <c r="C809" s="13" t="s">
        <v>400</v>
      </c>
      <c r="D809" s="14" t="s">
        <v>250</v>
      </c>
      <c r="E809" s="14" t="s">
        <v>250</v>
      </c>
      <c r="F809" s="14">
        <v>100.57897391711242</v>
      </c>
      <c r="G809" s="14">
        <v>100.57897391711239</v>
      </c>
      <c r="H809" s="14">
        <v>2.8164963648431347</v>
      </c>
      <c r="I809" s="14" t="s">
        <v>250</v>
      </c>
      <c r="J809" s="14" t="s">
        <v>250</v>
      </c>
    </row>
    <row r="810" spans="1:10" ht="15.75" x14ac:dyDescent="0.5">
      <c r="A810" s="13" t="s">
        <v>289</v>
      </c>
      <c r="B810" s="13" t="s">
        <v>402</v>
      </c>
      <c r="C810" s="13" t="s">
        <v>400</v>
      </c>
      <c r="D810" s="14">
        <v>1072.9916742877465</v>
      </c>
      <c r="E810" s="14">
        <v>402.82507665778951</v>
      </c>
      <c r="F810" s="14">
        <v>203.68870248947317</v>
      </c>
      <c r="G810" s="14">
        <v>295.37115732883319</v>
      </c>
      <c r="H810" s="14">
        <v>187.72903698580294</v>
      </c>
      <c r="I810" s="14">
        <v>56.715499575762202</v>
      </c>
      <c r="J810" s="14">
        <v>51.796932385315813</v>
      </c>
    </row>
    <row r="811" spans="1:10" ht="15.75" x14ac:dyDescent="0.5">
      <c r="A811" s="13" t="s">
        <v>289</v>
      </c>
      <c r="B811" s="13" t="s">
        <v>403</v>
      </c>
      <c r="C811" s="13" t="s">
        <v>400</v>
      </c>
      <c r="D811" s="14" t="s">
        <v>250</v>
      </c>
      <c r="E811" s="14" t="s">
        <v>250</v>
      </c>
      <c r="F811" s="14">
        <v>29.083803342206693</v>
      </c>
      <c r="G811" s="14">
        <v>29.083803342206689</v>
      </c>
      <c r="H811" s="14">
        <v>5.9055508773154362</v>
      </c>
      <c r="I811" s="14">
        <v>2.7256302000000066</v>
      </c>
      <c r="J811" s="14" t="s">
        <v>250</v>
      </c>
    </row>
    <row r="812" spans="1:10" ht="15.75" x14ac:dyDescent="0.5">
      <c r="A812" s="13" t="s">
        <v>289</v>
      </c>
      <c r="B812" s="13" t="s">
        <v>405</v>
      </c>
      <c r="C812" s="13" t="s">
        <v>400</v>
      </c>
      <c r="D812" s="14">
        <v>1259.3891290889951</v>
      </c>
      <c r="E812" s="14">
        <v>1309.662091487108</v>
      </c>
      <c r="F812" s="14">
        <v>1366.7138664779045</v>
      </c>
      <c r="G812" s="14">
        <v>1184.7239951089123</v>
      </c>
      <c r="H812" s="14">
        <v>1026.759402278886</v>
      </c>
      <c r="I812" s="14">
        <v>648.17872105169374</v>
      </c>
      <c r="J812" s="14">
        <v>679.4568460514522</v>
      </c>
    </row>
    <row r="813" spans="1:10" ht="15.75" x14ac:dyDescent="0.5">
      <c r="A813" s="13" t="s">
        <v>289</v>
      </c>
      <c r="B813" s="13" t="s">
        <v>406</v>
      </c>
      <c r="C813" s="13" t="s">
        <v>400</v>
      </c>
      <c r="D813" s="14">
        <v>23.479196814299332</v>
      </c>
      <c r="E813" s="14">
        <v>23.190227974923889</v>
      </c>
      <c r="F813" s="14">
        <v>42.922397896042824</v>
      </c>
      <c r="G813" s="14">
        <v>40.712004449929651</v>
      </c>
      <c r="H813" s="14">
        <v>36.992598149974</v>
      </c>
      <c r="I813" s="14">
        <v>33.628329540657262</v>
      </c>
      <c r="J813" s="14">
        <v>30.251817843359436</v>
      </c>
    </row>
    <row r="814" spans="1:10" ht="15.75" x14ac:dyDescent="0.5">
      <c r="A814" s="13" t="s">
        <v>289</v>
      </c>
      <c r="B814" s="13" t="s">
        <v>407</v>
      </c>
      <c r="C814" s="13" t="s">
        <v>400</v>
      </c>
      <c r="D814" s="14" t="s">
        <v>250</v>
      </c>
      <c r="E814" s="14">
        <v>143.29969774709809</v>
      </c>
      <c r="F814" s="14">
        <v>93.998199264613461</v>
      </c>
      <c r="G814" s="14">
        <v>138.57267797004613</v>
      </c>
      <c r="H814" s="14" t="s">
        <v>250</v>
      </c>
      <c r="I814" s="14" t="s">
        <v>250</v>
      </c>
      <c r="J814" s="14" t="s">
        <v>250</v>
      </c>
    </row>
    <row r="815" spans="1:10" ht="15.75" x14ac:dyDescent="0.5">
      <c r="A815" s="13" t="s">
        <v>289</v>
      </c>
      <c r="B815" s="13" t="s">
        <v>408</v>
      </c>
      <c r="C815" s="13" t="s">
        <v>400</v>
      </c>
      <c r="D815" s="14">
        <v>46.892290321001241</v>
      </c>
      <c r="E815" s="14">
        <v>34.98080510724602</v>
      </c>
      <c r="F815" s="14">
        <v>30.788807232481581</v>
      </c>
      <c r="G815" s="14">
        <v>43.959491193857914</v>
      </c>
      <c r="H815" s="14">
        <v>41.203272354653926</v>
      </c>
      <c r="I815" s="14">
        <v>31.614410304507938</v>
      </c>
      <c r="J815" s="14">
        <v>28.917027362339226</v>
      </c>
    </row>
    <row r="816" spans="1:10" ht="15.75" x14ac:dyDescent="0.5">
      <c r="A816" s="13" t="s">
        <v>289</v>
      </c>
      <c r="B816" s="13" t="s">
        <v>409</v>
      </c>
      <c r="C816" s="13" t="s">
        <v>400</v>
      </c>
      <c r="D816" s="14">
        <v>18.365704270000034</v>
      </c>
      <c r="E816" s="14">
        <v>18.36570427000003</v>
      </c>
      <c r="F816" s="14">
        <v>18.365704270000037</v>
      </c>
      <c r="G816" s="14">
        <v>18.36570427000003</v>
      </c>
      <c r="H816" s="14">
        <v>18.365704270000037</v>
      </c>
      <c r="I816" s="14">
        <v>17.8618327861331</v>
      </c>
      <c r="J816" s="14">
        <v>17.47511039000327</v>
      </c>
    </row>
    <row r="817" spans="1:10" ht="15.75" x14ac:dyDescent="0.5">
      <c r="A817" s="13" t="s">
        <v>289</v>
      </c>
      <c r="B817" s="13" t="s">
        <v>410</v>
      </c>
      <c r="C817" s="13" t="s">
        <v>400</v>
      </c>
      <c r="D817" s="14">
        <v>245.79356253202209</v>
      </c>
      <c r="E817" s="14">
        <v>244.70915225791512</v>
      </c>
      <c r="F817" s="14">
        <v>246.08553120683462</v>
      </c>
      <c r="G817" s="14">
        <v>246.16997594139104</v>
      </c>
      <c r="H817" s="14">
        <v>246.16997594139099</v>
      </c>
      <c r="I817" s="14">
        <v>246.16997594139096</v>
      </c>
      <c r="J817" s="14">
        <v>245.69526826898201</v>
      </c>
    </row>
    <row r="818" spans="1:10" ht="15.75" x14ac:dyDescent="0.5">
      <c r="A818" s="13" t="s">
        <v>289</v>
      </c>
      <c r="B818" s="13" t="s">
        <v>411</v>
      </c>
      <c r="C818" s="13" t="s">
        <v>400</v>
      </c>
      <c r="D818" s="14">
        <v>7.1394000000000153</v>
      </c>
      <c r="E818" s="14">
        <v>6.0948264369647198</v>
      </c>
      <c r="F818" s="14" t="s">
        <v>250</v>
      </c>
      <c r="G818" s="14" t="s">
        <v>250</v>
      </c>
      <c r="H818" s="14" t="s">
        <v>250</v>
      </c>
      <c r="I818" s="14" t="s">
        <v>250</v>
      </c>
      <c r="J818" s="14" t="s">
        <v>250</v>
      </c>
    </row>
    <row r="819" spans="1:10" ht="15.75" x14ac:dyDescent="0.5">
      <c r="A819" s="13" t="s">
        <v>289</v>
      </c>
      <c r="B819" s="13" t="s">
        <v>412</v>
      </c>
      <c r="C819" s="13" t="s">
        <v>400</v>
      </c>
      <c r="D819" s="14">
        <v>760.72545968400186</v>
      </c>
      <c r="E819" s="14">
        <v>748.69955780887494</v>
      </c>
      <c r="F819" s="14">
        <v>636.63378847477941</v>
      </c>
      <c r="G819" s="14">
        <v>679.60242442196272</v>
      </c>
      <c r="H819" s="14">
        <v>195.31300290852397</v>
      </c>
      <c r="I819" s="14">
        <v>4.862752917591437</v>
      </c>
      <c r="J819" s="14">
        <v>6.0804592705323728</v>
      </c>
    </row>
    <row r="820" spans="1:10" ht="15.75" x14ac:dyDescent="0.5">
      <c r="A820" s="13" t="s">
        <v>289</v>
      </c>
      <c r="B820" s="13" t="s">
        <v>413</v>
      </c>
      <c r="C820" s="13" t="s">
        <v>400</v>
      </c>
      <c r="D820" s="14">
        <v>23.702927619886133</v>
      </c>
      <c r="E820" s="14">
        <v>19.548731308086179</v>
      </c>
      <c r="F820" s="14">
        <v>5.5964101849272918</v>
      </c>
      <c r="G820" s="14">
        <v>3.355933229296844</v>
      </c>
      <c r="H820" s="14">
        <v>1.6989124268542406</v>
      </c>
      <c r="I820" s="14">
        <v>1.271987370276741</v>
      </c>
      <c r="J820" s="14">
        <v>1.5341582111671954</v>
      </c>
    </row>
    <row r="821" spans="1:10" ht="15.75" x14ac:dyDescent="0.5">
      <c r="A821" s="13" t="s">
        <v>289</v>
      </c>
      <c r="B821" s="13" t="s">
        <v>414</v>
      </c>
      <c r="C821" s="13" t="s">
        <v>400</v>
      </c>
      <c r="D821" s="14">
        <v>0.6803907705109502</v>
      </c>
      <c r="E821" s="14">
        <v>24.426397150733408</v>
      </c>
      <c r="F821" s="14">
        <v>100.49276878601356</v>
      </c>
      <c r="G821" s="14">
        <v>206.74793572140507</v>
      </c>
      <c r="H821" s="14">
        <v>253.18876510747515</v>
      </c>
      <c r="I821" s="14">
        <v>254.70782658911941</v>
      </c>
      <c r="J821" s="14">
        <v>255.8840742361603</v>
      </c>
    </row>
    <row r="822" spans="1:10" ht="15.75" x14ac:dyDescent="0.5">
      <c r="A822" s="13" t="s">
        <v>289</v>
      </c>
      <c r="B822" s="13" t="s">
        <v>415</v>
      </c>
      <c r="C822" s="13" t="s">
        <v>400</v>
      </c>
      <c r="D822" s="14">
        <v>440.53124483255561</v>
      </c>
      <c r="E822" s="14">
        <v>874.90671795798744</v>
      </c>
      <c r="F822" s="14">
        <v>1377.8987683540681</v>
      </c>
      <c r="G822" s="14">
        <v>1518.9899792414324</v>
      </c>
      <c r="H822" s="14">
        <v>2378.6848412499471</v>
      </c>
      <c r="I822" s="14">
        <v>3694.334915192218</v>
      </c>
      <c r="J822" s="14">
        <v>3736.8495253220062</v>
      </c>
    </row>
    <row r="823" spans="1:10" ht="15.75" x14ac:dyDescent="0.5">
      <c r="A823" s="13" t="s">
        <v>289</v>
      </c>
      <c r="B823" s="13" t="s">
        <v>416</v>
      </c>
      <c r="C823" s="13" t="s">
        <v>400</v>
      </c>
      <c r="D823" s="14" t="s">
        <v>250</v>
      </c>
      <c r="E823" s="14">
        <v>70.934498682900767</v>
      </c>
      <c r="F823" s="14">
        <v>100.19546122793702</v>
      </c>
      <c r="G823" s="14">
        <v>127.69344447727369</v>
      </c>
      <c r="H823" s="14">
        <v>145.88323771792341</v>
      </c>
      <c r="I823" s="14">
        <v>165.77906731373227</v>
      </c>
      <c r="J823" s="14">
        <v>186.2865730549081</v>
      </c>
    </row>
    <row r="824" spans="1:10" ht="15.75" x14ac:dyDescent="0.5">
      <c r="A824" s="13" t="s">
        <v>289</v>
      </c>
      <c r="B824" s="13" t="s">
        <v>417</v>
      </c>
      <c r="C824" s="13" t="s">
        <v>400</v>
      </c>
      <c r="D824" s="14">
        <v>187.48709633408691</v>
      </c>
      <c r="E824" s="14">
        <v>298.30786724466162</v>
      </c>
      <c r="F824" s="14">
        <v>339.9493556550471</v>
      </c>
      <c r="G824" s="14">
        <v>1146.3854918114623</v>
      </c>
      <c r="H824" s="14">
        <v>2855.0736279536363</v>
      </c>
      <c r="I824" s="14">
        <v>4170.7498902203233</v>
      </c>
      <c r="J824" s="14">
        <v>4309.8321668132348</v>
      </c>
    </row>
    <row r="825" spans="1:10" ht="15.75" x14ac:dyDescent="0.5">
      <c r="A825" s="13" t="s">
        <v>289</v>
      </c>
      <c r="B825" s="13" t="s">
        <v>418</v>
      </c>
      <c r="C825" s="13" t="s">
        <v>400</v>
      </c>
      <c r="D825" s="14">
        <v>3.184175173101953</v>
      </c>
      <c r="E825" s="14">
        <v>3.1841751731019539</v>
      </c>
      <c r="F825" s="14">
        <v>3.184175173101953</v>
      </c>
      <c r="G825" s="14">
        <v>3.1841751731019534</v>
      </c>
      <c r="H825" s="14">
        <v>3.1841751731019534</v>
      </c>
      <c r="I825" s="14">
        <v>3.1841751731019539</v>
      </c>
      <c r="J825" s="14">
        <v>3.1841751731019534</v>
      </c>
    </row>
    <row r="826" spans="1:10" ht="15.75" x14ac:dyDescent="0.5">
      <c r="A826" s="13" t="s">
        <v>289</v>
      </c>
      <c r="B826" s="13" t="s">
        <v>419</v>
      </c>
      <c r="C826" s="13" t="s">
        <v>400</v>
      </c>
      <c r="D826" s="14">
        <v>0.54465920264079504</v>
      </c>
      <c r="E826" s="14">
        <v>9.5609022298677093</v>
      </c>
      <c r="F826" s="14">
        <v>87.448361834718</v>
      </c>
      <c r="G826" s="14">
        <v>263.00083906094801</v>
      </c>
      <c r="H826" s="14">
        <v>1174.3165177981862</v>
      </c>
      <c r="I826" s="14">
        <v>2430.8629440482364</v>
      </c>
      <c r="J826" s="14">
        <v>2597.4096073245582</v>
      </c>
    </row>
    <row r="827" spans="1:10" ht="15.75" x14ac:dyDescent="0.5">
      <c r="A827" s="13" t="s">
        <v>289</v>
      </c>
      <c r="B827" s="13" t="s">
        <v>420</v>
      </c>
      <c r="C827" s="13" t="s">
        <v>400</v>
      </c>
      <c r="D827" s="14">
        <v>-13.987252957808423</v>
      </c>
      <c r="E827" s="14">
        <v>-13.705305329736269</v>
      </c>
      <c r="F827" s="14">
        <v>-13.718025241162776</v>
      </c>
      <c r="G827" s="14">
        <v>-11.776104144532265</v>
      </c>
      <c r="H827" s="14">
        <v>-13.753030037099279</v>
      </c>
      <c r="I827" s="14">
        <v>-17.167690857728001</v>
      </c>
      <c r="J827" s="14">
        <v>-21.01734784013016</v>
      </c>
    </row>
    <row r="828" spans="1:10" ht="15.75" x14ac:dyDescent="0.5">
      <c r="A828" s="13" t="s">
        <v>290</v>
      </c>
      <c r="B828" s="13" t="s">
        <v>399</v>
      </c>
      <c r="C828" s="13" t="s">
        <v>400</v>
      </c>
      <c r="D828" s="14">
        <v>7.2499064625597889</v>
      </c>
      <c r="E828" s="14">
        <v>4.2389343065693544E-2</v>
      </c>
      <c r="F828" s="14">
        <v>0.51246000000000114</v>
      </c>
      <c r="G828" s="14">
        <v>0.74757371165303022</v>
      </c>
      <c r="H828" s="14">
        <v>0.83303458833801547</v>
      </c>
      <c r="I828" s="14">
        <v>0.26019687591240925</v>
      </c>
      <c r="J828" s="14">
        <v>0.62947687279292686</v>
      </c>
    </row>
    <row r="829" spans="1:10" ht="15.75" x14ac:dyDescent="0.5">
      <c r="A829" s="13" t="s">
        <v>290</v>
      </c>
      <c r="B829" s="13" t="s">
        <v>401</v>
      </c>
      <c r="C829" s="13" t="s">
        <v>400</v>
      </c>
      <c r="D829" s="14" t="s">
        <v>250</v>
      </c>
      <c r="E829" s="14" t="s">
        <v>250</v>
      </c>
      <c r="F829" s="14">
        <v>100.55851669864012</v>
      </c>
      <c r="G829" s="14">
        <v>100.55851669864018</v>
      </c>
      <c r="H829" s="14">
        <v>2.8164294025092196</v>
      </c>
      <c r="I829" s="14" t="s">
        <v>250</v>
      </c>
      <c r="J829" s="14" t="s">
        <v>250</v>
      </c>
    </row>
    <row r="830" spans="1:10" ht="15.75" x14ac:dyDescent="0.5">
      <c r="A830" s="13" t="s">
        <v>290</v>
      </c>
      <c r="B830" s="13" t="s">
        <v>402</v>
      </c>
      <c r="C830" s="13" t="s">
        <v>400</v>
      </c>
      <c r="D830" s="14">
        <v>1072.9916742877458</v>
      </c>
      <c r="E830" s="14">
        <v>402.74380304081814</v>
      </c>
      <c r="F830" s="14">
        <v>203.71050058090606</v>
      </c>
      <c r="G830" s="14">
        <v>295.28654523811815</v>
      </c>
      <c r="H830" s="14">
        <v>187.40239791398045</v>
      </c>
      <c r="I830" s="14">
        <v>56.729824001996633</v>
      </c>
      <c r="J830" s="14">
        <v>51.089363961918572</v>
      </c>
    </row>
    <row r="831" spans="1:10" ht="15.75" x14ac:dyDescent="0.5">
      <c r="A831" s="13" t="s">
        <v>290</v>
      </c>
      <c r="B831" s="13" t="s">
        <v>403</v>
      </c>
      <c r="C831" s="13" t="s">
        <v>400</v>
      </c>
      <c r="D831" s="14" t="s">
        <v>250</v>
      </c>
      <c r="E831" s="14" t="s">
        <v>250</v>
      </c>
      <c r="F831" s="14">
        <v>28.786772079055005</v>
      </c>
      <c r="G831" s="14">
        <v>28.786772079054963</v>
      </c>
      <c r="H831" s="14">
        <v>5.8441807816229332</v>
      </c>
      <c r="I831" s="14">
        <v>2.7256302000000066</v>
      </c>
      <c r="J831" s="14" t="s">
        <v>250</v>
      </c>
    </row>
    <row r="832" spans="1:10" ht="15.75" x14ac:dyDescent="0.5">
      <c r="A832" s="13" t="s">
        <v>290</v>
      </c>
      <c r="B832" s="13" t="s">
        <v>405</v>
      </c>
      <c r="C832" s="13" t="s">
        <v>400</v>
      </c>
      <c r="D832" s="14">
        <v>1259.389129088994</v>
      </c>
      <c r="E832" s="14">
        <v>1309.7206382679819</v>
      </c>
      <c r="F832" s="14">
        <v>1367.1166202456495</v>
      </c>
      <c r="G832" s="14">
        <v>1185.1450962387034</v>
      </c>
      <c r="H832" s="14">
        <v>1027.2427595753838</v>
      </c>
      <c r="I832" s="14">
        <v>649.05824529200765</v>
      </c>
      <c r="J832" s="14">
        <v>671.93224969324581</v>
      </c>
    </row>
    <row r="833" spans="1:10" ht="15.75" x14ac:dyDescent="0.5">
      <c r="A833" s="13" t="s">
        <v>290</v>
      </c>
      <c r="B833" s="13" t="s">
        <v>406</v>
      </c>
      <c r="C833" s="13" t="s">
        <v>400</v>
      </c>
      <c r="D833" s="14">
        <v>23.479196814299335</v>
      </c>
      <c r="E833" s="14">
        <v>23.180202725476029</v>
      </c>
      <c r="F833" s="14">
        <v>42.922803646761317</v>
      </c>
      <c r="G833" s="14">
        <v>40.709944115814594</v>
      </c>
      <c r="H833" s="14">
        <v>36.990645598431399</v>
      </c>
      <c r="I833" s="14">
        <v>33.625857978645037</v>
      </c>
      <c r="J833" s="14">
        <v>30.253508853570089</v>
      </c>
    </row>
    <row r="834" spans="1:10" ht="15.75" x14ac:dyDescent="0.5">
      <c r="A834" s="13" t="s">
        <v>290</v>
      </c>
      <c r="B834" s="13" t="s">
        <v>407</v>
      </c>
      <c r="C834" s="13" t="s">
        <v>400</v>
      </c>
      <c r="D834" s="14" t="s">
        <v>250</v>
      </c>
      <c r="E834" s="14">
        <v>143.30171549503939</v>
      </c>
      <c r="F834" s="14">
        <v>93.84826811980443</v>
      </c>
      <c r="G834" s="14">
        <v>138.12614020261881</v>
      </c>
      <c r="H834" s="14" t="s">
        <v>250</v>
      </c>
      <c r="I834" s="14" t="s">
        <v>250</v>
      </c>
      <c r="J834" s="14" t="s">
        <v>250</v>
      </c>
    </row>
    <row r="835" spans="1:10" ht="15.75" x14ac:dyDescent="0.5">
      <c r="A835" s="13" t="s">
        <v>290</v>
      </c>
      <c r="B835" s="13" t="s">
        <v>408</v>
      </c>
      <c r="C835" s="13" t="s">
        <v>400</v>
      </c>
      <c r="D835" s="14">
        <v>46.892290321001234</v>
      </c>
      <c r="E835" s="14">
        <v>34.988395380789342</v>
      </c>
      <c r="F835" s="14">
        <v>30.788805360538774</v>
      </c>
      <c r="G835" s="14">
        <v>43.949809127074424</v>
      </c>
      <c r="H835" s="14">
        <v>41.20226062010012</v>
      </c>
      <c r="I835" s="14">
        <v>31.152114399757981</v>
      </c>
      <c r="J835" s="14">
        <v>28.792790525711176</v>
      </c>
    </row>
    <row r="836" spans="1:10" ht="15.75" x14ac:dyDescent="0.5">
      <c r="A836" s="13" t="s">
        <v>290</v>
      </c>
      <c r="B836" s="13" t="s">
        <v>409</v>
      </c>
      <c r="C836" s="13" t="s">
        <v>400</v>
      </c>
      <c r="D836" s="14">
        <v>18.365704270000037</v>
      </c>
      <c r="E836" s="14">
        <v>18.36570427000003</v>
      </c>
      <c r="F836" s="14">
        <v>18.365704270000037</v>
      </c>
      <c r="G836" s="14">
        <v>18.365704270000037</v>
      </c>
      <c r="H836" s="14">
        <v>18.365704270000037</v>
      </c>
      <c r="I836" s="14">
        <v>17.862101466166713</v>
      </c>
      <c r="J836" s="14">
        <v>17.473961660214357</v>
      </c>
    </row>
    <row r="837" spans="1:10" ht="15.75" x14ac:dyDescent="0.5">
      <c r="A837" s="13" t="s">
        <v>290</v>
      </c>
      <c r="B837" s="13" t="s">
        <v>410</v>
      </c>
      <c r="C837" s="13" t="s">
        <v>400</v>
      </c>
      <c r="D837" s="14">
        <v>245.79356253202215</v>
      </c>
      <c r="E837" s="14">
        <v>244.71024850685339</v>
      </c>
      <c r="F837" s="14">
        <v>246.12319367844185</v>
      </c>
      <c r="G837" s="14">
        <v>246.16997594139096</v>
      </c>
      <c r="H837" s="14">
        <v>246.16997594139096</v>
      </c>
      <c r="I837" s="14">
        <v>246.16997594139087</v>
      </c>
      <c r="J837" s="14">
        <v>245.69526826898235</v>
      </c>
    </row>
    <row r="838" spans="1:10" ht="15.75" x14ac:dyDescent="0.5">
      <c r="A838" s="13" t="s">
        <v>290</v>
      </c>
      <c r="B838" s="13" t="s">
        <v>411</v>
      </c>
      <c r="C838" s="13" t="s">
        <v>400</v>
      </c>
      <c r="D838" s="14">
        <v>7.1394000000000162</v>
      </c>
      <c r="E838" s="14">
        <v>6.1095592032174828</v>
      </c>
      <c r="F838" s="14" t="s">
        <v>250</v>
      </c>
      <c r="G838" s="14" t="s">
        <v>250</v>
      </c>
      <c r="H838" s="14" t="s">
        <v>250</v>
      </c>
      <c r="I838" s="14" t="s">
        <v>250</v>
      </c>
      <c r="J838" s="14" t="s">
        <v>250</v>
      </c>
    </row>
    <row r="839" spans="1:10" ht="15.75" x14ac:dyDescent="0.5">
      <c r="A839" s="13" t="s">
        <v>290</v>
      </c>
      <c r="B839" s="13" t="s">
        <v>412</v>
      </c>
      <c r="C839" s="13" t="s">
        <v>400</v>
      </c>
      <c r="D839" s="14">
        <v>760.72545968400175</v>
      </c>
      <c r="E839" s="14">
        <v>748.69108358458652</v>
      </c>
      <c r="F839" s="14">
        <v>636.64002253909734</v>
      </c>
      <c r="G839" s="14">
        <v>679.58508871376682</v>
      </c>
      <c r="H839" s="14">
        <v>194.84187378381546</v>
      </c>
      <c r="I839" s="14">
        <v>4.8627529175914361</v>
      </c>
      <c r="J839" s="14">
        <v>17.045170533448196</v>
      </c>
    </row>
    <row r="840" spans="1:10" ht="15.75" x14ac:dyDescent="0.5">
      <c r="A840" s="13" t="s">
        <v>290</v>
      </c>
      <c r="B840" s="13" t="s">
        <v>413</v>
      </c>
      <c r="C840" s="13" t="s">
        <v>400</v>
      </c>
      <c r="D840" s="14">
        <v>23.702927619886133</v>
      </c>
      <c r="E840" s="14">
        <v>19.551944050966096</v>
      </c>
      <c r="F840" s="14">
        <v>5.6168359251238424</v>
      </c>
      <c r="G840" s="14">
        <v>3.3764974950013285</v>
      </c>
      <c r="H840" s="14">
        <v>1.6989560729833058</v>
      </c>
      <c r="I840" s="14">
        <v>1.284501748126686</v>
      </c>
      <c r="J840" s="14">
        <v>1.5955638832116819</v>
      </c>
    </row>
    <row r="841" spans="1:10" ht="15.75" x14ac:dyDescent="0.5">
      <c r="A841" s="13" t="s">
        <v>290</v>
      </c>
      <c r="B841" s="13" t="s">
        <v>414</v>
      </c>
      <c r="C841" s="13" t="s">
        <v>400</v>
      </c>
      <c r="D841" s="14">
        <v>0.68039077051095032</v>
      </c>
      <c r="E841" s="14">
        <v>24.426397150733408</v>
      </c>
      <c r="F841" s="14">
        <v>100.49298173935149</v>
      </c>
      <c r="G841" s="14">
        <v>206.74852178995692</v>
      </c>
      <c r="H841" s="14">
        <v>253.18935642773755</v>
      </c>
      <c r="I841" s="14">
        <v>254.70842182023014</v>
      </c>
      <c r="J841" s="14">
        <v>255.88467248421117</v>
      </c>
    </row>
    <row r="842" spans="1:10" ht="15.75" x14ac:dyDescent="0.5">
      <c r="A842" s="13" t="s">
        <v>290</v>
      </c>
      <c r="B842" s="13" t="s">
        <v>415</v>
      </c>
      <c r="C842" s="13" t="s">
        <v>400</v>
      </c>
      <c r="D842" s="14">
        <v>440.5312448325555</v>
      </c>
      <c r="E842" s="14">
        <v>874.90671795798767</v>
      </c>
      <c r="F842" s="14">
        <v>1377.8945826088632</v>
      </c>
      <c r="G842" s="14">
        <v>1518.8074589066966</v>
      </c>
      <c r="H842" s="14">
        <v>2379.9697254685957</v>
      </c>
      <c r="I842" s="14">
        <v>3697.9509276619278</v>
      </c>
      <c r="J842" s="14">
        <v>3739.3652457655767</v>
      </c>
    </row>
    <row r="843" spans="1:10" ht="15.75" x14ac:dyDescent="0.5">
      <c r="A843" s="13" t="s">
        <v>290</v>
      </c>
      <c r="B843" s="13" t="s">
        <v>416</v>
      </c>
      <c r="C843" s="13" t="s">
        <v>400</v>
      </c>
      <c r="D843" s="14" t="s">
        <v>250</v>
      </c>
      <c r="E843" s="14">
        <v>70.934498682900767</v>
      </c>
      <c r="F843" s="14">
        <v>100.195461227937</v>
      </c>
      <c r="G843" s="14">
        <v>127.69344447727377</v>
      </c>
      <c r="H843" s="14">
        <v>145.88323771792352</v>
      </c>
      <c r="I843" s="14">
        <v>165.77906731373224</v>
      </c>
      <c r="J843" s="14">
        <v>186.28657305490802</v>
      </c>
    </row>
    <row r="844" spans="1:10" ht="15.75" x14ac:dyDescent="0.5">
      <c r="A844" s="13" t="s">
        <v>290</v>
      </c>
      <c r="B844" s="13" t="s">
        <v>417</v>
      </c>
      <c r="C844" s="13" t="s">
        <v>400</v>
      </c>
      <c r="D844" s="14">
        <v>187.48709633408689</v>
      </c>
      <c r="E844" s="14">
        <v>298.3078672446614</v>
      </c>
      <c r="F844" s="14">
        <v>339.94935565504687</v>
      </c>
      <c r="G844" s="14">
        <v>1147.1059490467037</v>
      </c>
      <c r="H844" s="14">
        <v>2853.1684847299416</v>
      </c>
      <c r="I844" s="14">
        <v>4161.3327081070793</v>
      </c>
      <c r="J844" s="14">
        <v>4298.8578702181248</v>
      </c>
    </row>
    <row r="845" spans="1:10" ht="15.75" x14ac:dyDescent="0.5">
      <c r="A845" s="13" t="s">
        <v>290</v>
      </c>
      <c r="B845" s="13" t="s">
        <v>418</v>
      </c>
      <c r="C845" s="13" t="s">
        <v>400</v>
      </c>
      <c r="D845" s="14">
        <v>3.1841751731019534</v>
      </c>
      <c r="E845" s="14">
        <v>3.184175173101953</v>
      </c>
      <c r="F845" s="14">
        <v>3.184175173101953</v>
      </c>
      <c r="G845" s="14">
        <v>3.1841751731019539</v>
      </c>
      <c r="H845" s="14">
        <v>3.1841751731019543</v>
      </c>
      <c r="I845" s="14">
        <v>3.184175173101953</v>
      </c>
      <c r="J845" s="14">
        <v>3.184175173101953</v>
      </c>
    </row>
    <row r="846" spans="1:10" ht="15.75" x14ac:dyDescent="0.5">
      <c r="A846" s="13" t="s">
        <v>290</v>
      </c>
      <c r="B846" s="13" t="s">
        <v>419</v>
      </c>
      <c r="C846" s="13" t="s">
        <v>400</v>
      </c>
      <c r="D846" s="14">
        <v>0.54465920264079504</v>
      </c>
      <c r="E846" s="14">
        <v>9.5612397801056588</v>
      </c>
      <c r="F846" s="14">
        <v>87.48788940483027</v>
      </c>
      <c r="G846" s="14">
        <v>263.31651623683757</v>
      </c>
      <c r="H846" s="14">
        <v>1174.0558330439776</v>
      </c>
      <c r="I846" s="14">
        <v>2428.9561586650643</v>
      </c>
      <c r="J846" s="14">
        <v>2594.6845804577015</v>
      </c>
    </row>
    <row r="847" spans="1:10" ht="15.75" x14ac:dyDescent="0.5">
      <c r="A847" s="13" t="s">
        <v>290</v>
      </c>
      <c r="B847" s="13" t="s">
        <v>420</v>
      </c>
      <c r="C847" s="13" t="s">
        <v>400</v>
      </c>
      <c r="D847" s="14">
        <v>-13.987252957808369</v>
      </c>
      <c r="E847" s="14">
        <v>-13.695357505927459</v>
      </c>
      <c r="F847" s="14">
        <v>-13.712857735164992</v>
      </c>
      <c r="G847" s="14">
        <v>-11.771659444139447</v>
      </c>
      <c r="H847" s="14">
        <v>-13.762300051576354</v>
      </c>
      <c r="I847" s="14">
        <v>-17.19964253222803</v>
      </c>
      <c r="J847" s="14">
        <v>-21.059022061643098</v>
      </c>
    </row>
    <row r="848" spans="1:10" ht="15.75" x14ac:dyDescent="0.5">
      <c r="A848" s="13" t="s">
        <v>291</v>
      </c>
      <c r="B848" s="13" t="s">
        <v>399</v>
      </c>
      <c r="C848" s="13" t="s">
        <v>400</v>
      </c>
      <c r="D848" s="14">
        <v>7.2499064625597889</v>
      </c>
      <c r="E848" s="14">
        <v>4.2389343065693544E-2</v>
      </c>
      <c r="F848" s="14">
        <v>0.51246000000000114</v>
      </c>
      <c r="G848" s="14">
        <v>0.74757371165303022</v>
      </c>
      <c r="H848" s="14">
        <v>0.83303458833801547</v>
      </c>
      <c r="I848" s="14">
        <v>0.26019687591240925</v>
      </c>
      <c r="J848" s="14">
        <v>0.6538210785936257</v>
      </c>
    </row>
    <row r="849" spans="1:10" ht="15.75" x14ac:dyDescent="0.5">
      <c r="A849" s="13" t="s">
        <v>291</v>
      </c>
      <c r="B849" s="13" t="s">
        <v>401</v>
      </c>
      <c r="C849" s="13" t="s">
        <v>400</v>
      </c>
      <c r="D849" s="14" t="s">
        <v>250</v>
      </c>
      <c r="E849" s="14" t="s">
        <v>250</v>
      </c>
      <c r="F849" s="14">
        <v>100.57897167606987</v>
      </c>
      <c r="G849" s="14">
        <v>100.57897167606981</v>
      </c>
      <c r="H849" s="14">
        <v>2.8164963563833982</v>
      </c>
      <c r="I849" s="14" t="s">
        <v>250</v>
      </c>
      <c r="J849" s="14" t="s">
        <v>250</v>
      </c>
    </row>
    <row r="850" spans="1:10" ht="15.75" x14ac:dyDescent="0.5">
      <c r="A850" s="13" t="s">
        <v>291</v>
      </c>
      <c r="B850" s="13" t="s">
        <v>402</v>
      </c>
      <c r="C850" s="13" t="s">
        <v>400</v>
      </c>
      <c r="D850" s="14">
        <v>1072.9916742877463</v>
      </c>
      <c r="E850" s="14">
        <v>402.82507672038355</v>
      </c>
      <c r="F850" s="14">
        <v>203.68870253133741</v>
      </c>
      <c r="G850" s="14">
        <v>295.37116217562135</v>
      </c>
      <c r="H850" s="14">
        <v>187.72903778328603</v>
      </c>
      <c r="I850" s="14">
        <v>56.715500349915281</v>
      </c>
      <c r="J850" s="14">
        <v>51.796930546517927</v>
      </c>
    </row>
    <row r="851" spans="1:10" ht="15.75" x14ac:dyDescent="0.5">
      <c r="A851" s="13" t="s">
        <v>291</v>
      </c>
      <c r="B851" s="13" t="s">
        <v>403</v>
      </c>
      <c r="C851" s="13" t="s">
        <v>400</v>
      </c>
      <c r="D851" s="14" t="s">
        <v>250</v>
      </c>
      <c r="E851" s="14" t="s">
        <v>250</v>
      </c>
      <c r="F851" s="14">
        <v>29.083802131613737</v>
      </c>
      <c r="G851" s="14">
        <v>29.083802131613744</v>
      </c>
      <c r="H851" s="14">
        <v>5.9055506271929241</v>
      </c>
      <c r="I851" s="14">
        <v>2.7256302000000061</v>
      </c>
      <c r="J851" s="14" t="s">
        <v>250</v>
      </c>
    </row>
    <row r="852" spans="1:10" ht="15.75" x14ac:dyDescent="0.5">
      <c r="A852" s="13" t="s">
        <v>291</v>
      </c>
      <c r="B852" s="13" t="s">
        <v>405</v>
      </c>
      <c r="C852" s="13" t="s">
        <v>400</v>
      </c>
      <c r="D852" s="14">
        <v>1259.3891290889956</v>
      </c>
      <c r="E852" s="14">
        <v>1309.6620931704942</v>
      </c>
      <c r="F852" s="14">
        <v>1366.7138762843013</v>
      </c>
      <c r="G852" s="14">
        <v>1184.7239998539494</v>
      </c>
      <c r="H852" s="14">
        <v>1026.7594107848724</v>
      </c>
      <c r="I852" s="14">
        <v>648.17871986388127</v>
      </c>
      <c r="J852" s="14">
        <v>679.45683798573759</v>
      </c>
    </row>
    <row r="853" spans="1:10" ht="15.75" x14ac:dyDescent="0.5">
      <c r="A853" s="13" t="s">
        <v>291</v>
      </c>
      <c r="B853" s="13" t="s">
        <v>406</v>
      </c>
      <c r="C853" s="13" t="s">
        <v>400</v>
      </c>
      <c r="D853" s="14">
        <v>23.479196814299332</v>
      </c>
      <c r="E853" s="14">
        <v>23.190228089134287</v>
      </c>
      <c r="F853" s="14">
        <v>42.922397705366009</v>
      </c>
      <c r="G853" s="14">
        <v>40.712004382591914</v>
      </c>
      <c r="H853" s="14">
        <v>36.992598053124425</v>
      </c>
      <c r="I853" s="14">
        <v>33.628329561709528</v>
      </c>
      <c r="J853" s="14">
        <v>30.25181786441172</v>
      </c>
    </row>
    <row r="854" spans="1:10" ht="15.75" x14ac:dyDescent="0.5">
      <c r="A854" s="13" t="s">
        <v>291</v>
      </c>
      <c r="B854" s="13" t="s">
        <v>407</v>
      </c>
      <c r="C854" s="13" t="s">
        <v>400</v>
      </c>
      <c r="D854" s="14" t="s">
        <v>250</v>
      </c>
      <c r="E854" s="14">
        <v>143.29969596250666</v>
      </c>
      <c r="F854" s="14">
        <v>93.998191832295234</v>
      </c>
      <c r="G854" s="14">
        <v>138.5726752176499</v>
      </c>
      <c r="H854" s="14" t="s">
        <v>250</v>
      </c>
      <c r="I854" s="14" t="s">
        <v>250</v>
      </c>
      <c r="J854" s="14" t="s">
        <v>250</v>
      </c>
    </row>
    <row r="855" spans="1:10" ht="15.75" x14ac:dyDescent="0.5">
      <c r="A855" s="13" t="s">
        <v>291</v>
      </c>
      <c r="B855" s="13" t="s">
        <v>408</v>
      </c>
      <c r="C855" s="13" t="s">
        <v>400</v>
      </c>
      <c r="D855" s="14">
        <v>46.892290321001241</v>
      </c>
      <c r="E855" s="14">
        <v>34.980805090164978</v>
      </c>
      <c r="F855" s="14">
        <v>30.788807232486096</v>
      </c>
      <c r="G855" s="14">
        <v>43.959491134798206</v>
      </c>
      <c r="H855" s="14">
        <v>41.203272351060939</v>
      </c>
      <c r="I855" s="14">
        <v>31.614408408546982</v>
      </c>
      <c r="J855" s="14">
        <v>28.917027429487153</v>
      </c>
    </row>
    <row r="856" spans="1:10" ht="15.75" x14ac:dyDescent="0.5">
      <c r="A856" s="13" t="s">
        <v>291</v>
      </c>
      <c r="B856" s="13" t="s">
        <v>409</v>
      </c>
      <c r="C856" s="13" t="s">
        <v>400</v>
      </c>
      <c r="D856" s="14">
        <v>18.365704270000034</v>
      </c>
      <c r="E856" s="14">
        <v>18.36570427000003</v>
      </c>
      <c r="F856" s="14">
        <v>18.365704270000034</v>
      </c>
      <c r="G856" s="14">
        <v>18.365704270000027</v>
      </c>
      <c r="H856" s="14">
        <v>18.365704270000034</v>
      </c>
      <c r="I856" s="14">
        <v>17.861832810201232</v>
      </c>
      <c r="J856" s="14">
        <v>17.475110382097665</v>
      </c>
    </row>
    <row r="857" spans="1:10" ht="15.75" x14ac:dyDescent="0.5">
      <c r="A857" s="13" t="s">
        <v>291</v>
      </c>
      <c r="B857" s="13" t="s">
        <v>410</v>
      </c>
      <c r="C857" s="13" t="s">
        <v>400</v>
      </c>
      <c r="D857" s="14">
        <v>245.79356253202215</v>
      </c>
      <c r="E857" s="14">
        <v>244.70915225800843</v>
      </c>
      <c r="F857" s="14">
        <v>246.08553097100196</v>
      </c>
      <c r="G857" s="14">
        <v>246.16997594139104</v>
      </c>
      <c r="H857" s="14">
        <v>246.16997594139096</v>
      </c>
      <c r="I857" s="14">
        <v>246.16997594139107</v>
      </c>
      <c r="J857" s="14">
        <v>245.69526826898212</v>
      </c>
    </row>
    <row r="858" spans="1:10" ht="15.75" x14ac:dyDescent="0.5">
      <c r="A858" s="13" t="s">
        <v>291</v>
      </c>
      <c r="B858" s="13" t="s">
        <v>411</v>
      </c>
      <c r="C858" s="13" t="s">
        <v>400</v>
      </c>
      <c r="D858" s="14">
        <v>7.1394000000000162</v>
      </c>
      <c r="E858" s="14">
        <v>6.0948268846476372</v>
      </c>
      <c r="F858" s="14" t="s">
        <v>250</v>
      </c>
      <c r="G858" s="14" t="s">
        <v>250</v>
      </c>
      <c r="H858" s="14" t="s">
        <v>250</v>
      </c>
      <c r="I858" s="14" t="s">
        <v>250</v>
      </c>
      <c r="J858" s="14" t="s">
        <v>250</v>
      </c>
    </row>
    <row r="859" spans="1:10" ht="15.75" x14ac:dyDescent="0.5">
      <c r="A859" s="13" t="s">
        <v>291</v>
      </c>
      <c r="B859" s="13" t="s">
        <v>412</v>
      </c>
      <c r="C859" s="13" t="s">
        <v>400</v>
      </c>
      <c r="D859" s="14">
        <v>760.72545968400175</v>
      </c>
      <c r="E859" s="14">
        <v>748.69955757597722</v>
      </c>
      <c r="F859" s="14">
        <v>636.63378883980886</v>
      </c>
      <c r="G859" s="14">
        <v>679.60242466131706</v>
      </c>
      <c r="H859" s="14">
        <v>195.31300033121448</v>
      </c>
      <c r="I859" s="14">
        <v>4.862752917591429</v>
      </c>
      <c r="J859" s="14">
        <v>6.0804592705323603</v>
      </c>
    </row>
    <row r="860" spans="1:10" ht="15.75" x14ac:dyDescent="0.5">
      <c r="A860" s="13" t="s">
        <v>291</v>
      </c>
      <c r="B860" s="13" t="s">
        <v>413</v>
      </c>
      <c r="C860" s="13" t="s">
        <v>400</v>
      </c>
      <c r="D860" s="14">
        <v>23.70292761988614</v>
      </c>
      <c r="E860" s="14">
        <v>19.548731128744727</v>
      </c>
      <c r="F860" s="14">
        <v>5.5964104005092059</v>
      </c>
      <c r="G860" s="14">
        <v>3.3559333580530675</v>
      </c>
      <c r="H860" s="14">
        <v>1.6989124270513769</v>
      </c>
      <c r="I860" s="14">
        <v>1.2719873685534731</v>
      </c>
      <c r="J860" s="14">
        <v>1.5341582111671972</v>
      </c>
    </row>
    <row r="861" spans="1:10" ht="15.75" x14ac:dyDescent="0.5">
      <c r="A861" s="13" t="s">
        <v>291</v>
      </c>
      <c r="B861" s="13" t="s">
        <v>414</v>
      </c>
      <c r="C861" s="13" t="s">
        <v>400</v>
      </c>
      <c r="D861" s="14">
        <v>0.6803907705109502</v>
      </c>
      <c r="E861" s="14">
        <v>24.426397150733408</v>
      </c>
      <c r="F861" s="14">
        <v>100.49276878549918</v>
      </c>
      <c r="G861" s="14">
        <v>206.74793571998939</v>
      </c>
      <c r="H861" s="14">
        <v>253.18876510604682</v>
      </c>
      <c r="I861" s="14">
        <v>254.70782658768167</v>
      </c>
      <c r="J861" s="14">
        <v>255.88407423471529</v>
      </c>
    </row>
    <row r="862" spans="1:10" ht="15.75" x14ac:dyDescent="0.5">
      <c r="A862" s="13" t="s">
        <v>291</v>
      </c>
      <c r="B862" s="13" t="s">
        <v>415</v>
      </c>
      <c r="C862" s="13" t="s">
        <v>400</v>
      </c>
      <c r="D862" s="14">
        <v>440.53124483255561</v>
      </c>
      <c r="E862" s="14">
        <v>874.90671795798744</v>
      </c>
      <c r="F862" s="14">
        <v>1377.8987685082766</v>
      </c>
      <c r="G862" s="14">
        <v>1518.989974847168</v>
      </c>
      <c r="H862" s="14">
        <v>2378.6848051701509</v>
      </c>
      <c r="I862" s="14">
        <v>3694.3348529573177</v>
      </c>
      <c r="J862" s="14">
        <v>3736.849486381388</v>
      </c>
    </row>
    <row r="863" spans="1:10" ht="15.75" x14ac:dyDescent="0.5">
      <c r="A863" s="13" t="s">
        <v>291</v>
      </c>
      <c r="B863" s="13" t="s">
        <v>416</v>
      </c>
      <c r="C863" s="13" t="s">
        <v>400</v>
      </c>
      <c r="D863" s="14" t="s">
        <v>250</v>
      </c>
      <c r="E863" s="14">
        <v>70.934498682900681</v>
      </c>
      <c r="F863" s="14">
        <v>100.19546122793702</v>
      </c>
      <c r="G863" s="14">
        <v>127.69344447727372</v>
      </c>
      <c r="H863" s="14">
        <v>145.88323771792335</v>
      </c>
      <c r="I863" s="14">
        <v>165.77906731373233</v>
      </c>
      <c r="J863" s="14">
        <v>186.28657305490799</v>
      </c>
    </row>
    <row r="864" spans="1:10" ht="15.75" x14ac:dyDescent="0.5">
      <c r="A864" s="13" t="s">
        <v>291</v>
      </c>
      <c r="B864" s="13" t="s">
        <v>417</v>
      </c>
      <c r="C864" s="13" t="s">
        <v>400</v>
      </c>
      <c r="D864" s="14">
        <v>187.48709633408691</v>
      </c>
      <c r="E864" s="14">
        <v>298.30786724466162</v>
      </c>
      <c r="F864" s="14">
        <v>339.9493556550471</v>
      </c>
      <c r="G864" s="14">
        <v>1146.3854916745631</v>
      </c>
      <c r="H864" s="14">
        <v>2855.0736568925367</v>
      </c>
      <c r="I864" s="14">
        <v>4170.7499307904945</v>
      </c>
      <c r="J864" s="14">
        <v>4309.8322072494138</v>
      </c>
    </row>
    <row r="865" spans="1:10" ht="15.75" x14ac:dyDescent="0.5">
      <c r="A865" s="13" t="s">
        <v>291</v>
      </c>
      <c r="B865" s="13" t="s">
        <v>418</v>
      </c>
      <c r="C865" s="13" t="s">
        <v>400</v>
      </c>
      <c r="D865" s="14">
        <v>3.1841751731019534</v>
      </c>
      <c r="E865" s="14">
        <v>3.1841751731019534</v>
      </c>
      <c r="F865" s="14">
        <v>3.1841751731019534</v>
      </c>
      <c r="G865" s="14">
        <v>3.1841751731019539</v>
      </c>
      <c r="H865" s="14">
        <v>3.1841751731019539</v>
      </c>
      <c r="I865" s="14">
        <v>3.1841751731019534</v>
      </c>
      <c r="J865" s="14">
        <v>3.1841751731019525</v>
      </c>
    </row>
    <row r="866" spans="1:10" ht="15.75" x14ac:dyDescent="0.5">
      <c r="A866" s="13" t="s">
        <v>291</v>
      </c>
      <c r="B866" s="13" t="s">
        <v>419</v>
      </c>
      <c r="C866" s="13" t="s">
        <v>400</v>
      </c>
      <c r="D866" s="14">
        <v>0.54465920264079504</v>
      </c>
      <c r="E866" s="14">
        <v>9.6072633851503202</v>
      </c>
      <c r="F866" s="14">
        <v>87.451118137789749</v>
      </c>
      <c r="G866" s="14">
        <v>263.07133608138696</v>
      </c>
      <c r="H866" s="14">
        <v>1174.2747851684269</v>
      </c>
      <c r="I866" s="14">
        <v>2430.6041401018451</v>
      </c>
      <c r="J866" s="14">
        <v>2598.4399070630066</v>
      </c>
    </row>
    <row r="867" spans="1:10" ht="15.75" x14ac:dyDescent="0.5">
      <c r="A867" s="13" t="s">
        <v>291</v>
      </c>
      <c r="B867" s="13" t="s">
        <v>420</v>
      </c>
      <c r="C867" s="13" t="s">
        <v>400</v>
      </c>
      <c r="D867" s="14">
        <v>-13.987252957808423</v>
      </c>
      <c r="E867" s="14">
        <v>-13.705305276739331</v>
      </c>
      <c r="F867" s="14">
        <v>-13.717557715039259</v>
      </c>
      <c r="G867" s="14">
        <v>-11.776104259271264</v>
      </c>
      <c r="H867" s="14">
        <v>-13.786562692122512</v>
      </c>
      <c r="I867" s="14">
        <v>-17.128309716570243</v>
      </c>
      <c r="J867" s="14">
        <v>-20.941018446735541</v>
      </c>
    </row>
    <row r="868" spans="1:10" ht="15.75" x14ac:dyDescent="0.5">
      <c r="A868" s="13" t="s">
        <v>292</v>
      </c>
      <c r="B868" s="13" t="s">
        <v>399</v>
      </c>
      <c r="C868" s="13" t="s">
        <v>400</v>
      </c>
      <c r="D868" s="14">
        <v>7.249906462559788</v>
      </c>
      <c r="E868" s="14">
        <v>4.2389343065693544E-2</v>
      </c>
      <c r="F868" s="14">
        <v>0.51246000000000114</v>
      </c>
      <c r="G868" s="14">
        <v>0.74757371165303033</v>
      </c>
      <c r="H868" s="14">
        <v>0.83303458833801536</v>
      </c>
      <c r="I868" s="14">
        <v>0.26019687591240925</v>
      </c>
      <c r="J868" s="14">
        <v>0.65381327939243816</v>
      </c>
    </row>
    <row r="869" spans="1:10" ht="15.75" x14ac:dyDescent="0.5">
      <c r="A869" s="13" t="s">
        <v>292</v>
      </c>
      <c r="B869" s="13" t="s">
        <v>401</v>
      </c>
      <c r="C869" s="13" t="s">
        <v>400</v>
      </c>
      <c r="D869" s="14" t="s">
        <v>250</v>
      </c>
      <c r="E869" s="14" t="s">
        <v>250</v>
      </c>
      <c r="F869" s="14">
        <v>100.57913732155708</v>
      </c>
      <c r="G869" s="14">
        <v>100.57913732155707</v>
      </c>
      <c r="H869" s="14">
        <v>2.8164968535314241</v>
      </c>
      <c r="I869" s="14" t="s">
        <v>250</v>
      </c>
      <c r="J869" s="14" t="s">
        <v>250</v>
      </c>
    </row>
    <row r="870" spans="1:10" ht="15.75" x14ac:dyDescent="0.5">
      <c r="A870" s="13" t="s">
        <v>292</v>
      </c>
      <c r="B870" s="13" t="s">
        <v>402</v>
      </c>
      <c r="C870" s="13" t="s">
        <v>400</v>
      </c>
      <c r="D870" s="14">
        <v>1072.9916742877465</v>
      </c>
      <c r="E870" s="14">
        <v>402.82510385158633</v>
      </c>
      <c r="F870" s="14">
        <v>203.68866767414735</v>
      </c>
      <c r="G870" s="14">
        <v>295.37070336120814</v>
      </c>
      <c r="H870" s="14">
        <v>187.72904630266964</v>
      </c>
      <c r="I870" s="14">
        <v>56.715442673286404</v>
      </c>
      <c r="J870" s="14">
        <v>51.797076676227803</v>
      </c>
    </row>
    <row r="871" spans="1:10" ht="15.75" x14ac:dyDescent="0.5">
      <c r="A871" s="13" t="s">
        <v>292</v>
      </c>
      <c r="B871" s="13" t="s">
        <v>403</v>
      </c>
      <c r="C871" s="13" t="s">
        <v>400</v>
      </c>
      <c r="D871" s="14" t="s">
        <v>250</v>
      </c>
      <c r="E871" s="14" t="s">
        <v>250</v>
      </c>
      <c r="F871" s="14">
        <v>29.083842567419701</v>
      </c>
      <c r="G871" s="14">
        <v>29.083842567419694</v>
      </c>
      <c r="H871" s="14">
        <v>5.905558981698289</v>
      </c>
      <c r="I871" s="14">
        <v>2.7256302000000066</v>
      </c>
      <c r="J871" s="14" t="s">
        <v>250</v>
      </c>
    </row>
    <row r="872" spans="1:10" ht="15.75" x14ac:dyDescent="0.5">
      <c r="A872" s="13" t="s">
        <v>292</v>
      </c>
      <c r="B872" s="13" t="s">
        <v>405</v>
      </c>
      <c r="C872" s="13" t="s">
        <v>400</v>
      </c>
      <c r="D872" s="14">
        <v>1259.3891290889944</v>
      </c>
      <c r="E872" s="14">
        <v>1309.661812622302</v>
      </c>
      <c r="F872" s="14">
        <v>1366.712940893279</v>
      </c>
      <c r="G872" s="14">
        <v>1184.7228273368351</v>
      </c>
      <c r="H872" s="14">
        <v>1026.758561547864</v>
      </c>
      <c r="I872" s="14">
        <v>648.17835171022034</v>
      </c>
      <c r="J872" s="14">
        <v>679.45732097287203</v>
      </c>
    </row>
    <row r="873" spans="1:10" ht="15.75" x14ac:dyDescent="0.5">
      <c r="A873" s="13" t="s">
        <v>292</v>
      </c>
      <c r="B873" s="13" t="s">
        <v>406</v>
      </c>
      <c r="C873" s="13" t="s">
        <v>400</v>
      </c>
      <c r="D873" s="14">
        <v>23.479196814299332</v>
      </c>
      <c r="E873" s="14">
        <v>23.190209817877349</v>
      </c>
      <c r="F873" s="14">
        <v>42.922402464182895</v>
      </c>
      <c r="G873" s="14">
        <v>40.711987086201667</v>
      </c>
      <c r="H873" s="14">
        <v>36.992603488589509</v>
      </c>
      <c r="I873" s="14">
        <v>33.628318666738586</v>
      </c>
      <c r="J873" s="14">
        <v>30.251806969440771</v>
      </c>
    </row>
    <row r="874" spans="1:10" ht="15.75" x14ac:dyDescent="0.5">
      <c r="A874" s="13" t="s">
        <v>292</v>
      </c>
      <c r="B874" s="13" t="s">
        <v>407</v>
      </c>
      <c r="C874" s="13" t="s">
        <v>400</v>
      </c>
      <c r="D874" s="14" t="s">
        <v>250</v>
      </c>
      <c r="E874" s="14">
        <v>143.29998484349738</v>
      </c>
      <c r="F874" s="14">
        <v>93.998682633279628</v>
      </c>
      <c r="G874" s="14">
        <v>138.5729973770778</v>
      </c>
      <c r="H874" s="14" t="s">
        <v>250</v>
      </c>
      <c r="I874" s="14" t="s">
        <v>250</v>
      </c>
      <c r="J874" s="14" t="s">
        <v>250</v>
      </c>
    </row>
    <row r="875" spans="1:10" ht="15.75" x14ac:dyDescent="0.5">
      <c r="A875" s="13" t="s">
        <v>292</v>
      </c>
      <c r="B875" s="13" t="s">
        <v>408</v>
      </c>
      <c r="C875" s="13" t="s">
        <v>400</v>
      </c>
      <c r="D875" s="14">
        <v>46.892290321001248</v>
      </c>
      <c r="E875" s="14">
        <v>34.980804078357032</v>
      </c>
      <c r="F875" s="14">
        <v>30.788807234898485</v>
      </c>
      <c r="G875" s="14">
        <v>43.959495770109086</v>
      </c>
      <c r="H875" s="14">
        <v>41.20327455649123</v>
      </c>
      <c r="I875" s="14">
        <v>31.614544055874976</v>
      </c>
      <c r="J875" s="14">
        <v>28.917035876483457</v>
      </c>
    </row>
    <row r="876" spans="1:10" ht="15.75" x14ac:dyDescent="0.5">
      <c r="A876" s="13" t="s">
        <v>292</v>
      </c>
      <c r="B876" s="13" t="s">
        <v>409</v>
      </c>
      <c r="C876" s="13" t="s">
        <v>400</v>
      </c>
      <c r="D876" s="14">
        <v>18.365704270000034</v>
      </c>
      <c r="E876" s="14">
        <v>18.365704270000034</v>
      </c>
      <c r="F876" s="14">
        <v>18.36570427000003</v>
      </c>
      <c r="G876" s="14">
        <v>18.365704270000027</v>
      </c>
      <c r="H876" s="14">
        <v>18.365704270000041</v>
      </c>
      <c r="I876" s="14">
        <v>17.861831558545227</v>
      </c>
      <c r="J876" s="14">
        <v>17.475110821145041</v>
      </c>
    </row>
    <row r="877" spans="1:10" ht="15.75" x14ac:dyDescent="0.5">
      <c r="A877" s="13" t="s">
        <v>292</v>
      </c>
      <c r="B877" s="13" t="s">
        <v>410</v>
      </c>
      <c r="C877" s="13" t="s">
        <v>400</v>
      </c>
      <c r="D877" s="14">
        <v>245.79356253202218</v>
      </c>
      <c r="E877" s="14">
        <v>244.70915226950035</v>
      </c>
      <c r="F877" s="14">
        <v>246.08559896274573</v>
      </c>
      <c r="G877" s="14">
        <v>246.16997594139096</v>
      </c>
      <c r="H877" s="14">
        <v>246.16997594139065</v>
      </c>
      <c r="I877" s="14">
        <v>246.16997594139104</v>
      </c>
      <c r="J877" s="14">
        <v>245.6952682689822</v>
      </c>
    </row>
    <row r="878" spans="1:10" ht="15.75" x14ac:dyDescent="0.5">
      <c r="A878" s="13" t="s">
        <v>292</v>
      </c>
      <c r="B878" s="13" t="s">
        <v>411</v>
      </c>
      <c r="C878" s="13" t="s">
        <v>400</v>
      </c>
      <c r="D878" s="14">
        <v>7.1394000000000153</v>
      </c>
      <c r="E878" s="14">
        <v>6.0947558681019682</v>
      </c>
      <c r="F878" s="14" t="s">
        <v>250</v>
      </c>
      <c r="G878" s="14" t="s">
        <v>250</v>
      </c>
      <c r="H878" s="14" t="s">
        <v>250</v>
      </c>
      <c r="I878" s="14" t="s">
        <v>250</v>
      </c>
      <c r="J878" s="14" t="s">
        <v>250</v>
      </c>
    </row>
    <row r="879" spans="1:10" ht="15.75" x14ac:dyDescent="0.5">
      <c r="A879" s="13" t="s">
        <v>292</v>
      </c>
      <c r="B879" s="13" t="s">
        <v>412</v>
      </c>
      <c r="C879" s="13" t="s">
        <v>400</v>
      </c>
      <c r="D879" s="14">
        <v>760.72545968400175</v>
      </c>
      <c r="E879" s="14">
        <v>748.69957354370547</v>
      </c>
      <c r="F879" s="14">
        <v>636.6337592623845</v>
      </c>
      <c r="G879" s="14">
        <v>679.60238286229617</v>
      </c>
      <c r="H879" s="14">
        <v>195.31272489287073</v>
      </c>
      <c r="I879" s="14">
        <v>4.862752917591437</v>
      </c>
      <c r="J879" s="14">
        <v>6.0804592705323701</v>
      </c>
    </row>
    <row r="880" spans="1:10" ht="15.75" x14ac:dyDescent="0.5">
      <c r="A880" s="13" t="s">
        <v>292</v>
      </c>
      <c r="B880" s="13" t="s">
        <v>413</v>
      </c>
      <c r="C880" s="13" t="s">
        <v>400</v>
      </c>
      <c r="D880" s="14">
        <v>23.70292761988614</v>
      </c>
      <c r="E880" s="14">
        <v>19.54875433699312</v>
      </c>
      <c r="F880" s="14">
        <v>5.5963824492179013</v>
      </c>
      <c r="G880" s="14">
        <v>3.3559109671072243</v>
      </c>
      <c r="H880" s="14">
        <v>1.6989124570478673</v>
      </c>
      <c r="I880" s="14">
        <v>1.2719852957462989</v>
      </c>
      <c r="J880" s="14">
        <v>1.5341582111671936</v>
      </c>
    </row>
    <row r="881" spans="1:10" ht="15.75" x14ac:dyDescent="0.5">
      <c r="A881" s="13" t="s">
        <v>292</v>
      </c>
      <c r="B881" s="13" t="s">
        <v>414</v>
      </c>
      <c r="C881" s="13" t="s">
        <v>400</v>
      </c>
      <c r="D881" s="14">
        <v>0.6803907705109502</v>
      </c>
      <c r="E881" s="14">
        <v>24.426397150733411</v>
      </c>
      <c r="F881" s="14">
        <v>100.49276851106559</v>
      </c>
      <c r="G881" s="14">
        <v>206.74793496472117</v>
      </c>
      <c r="H881" s="14">
        <v>253.18876434401076</v>
      </c>
      <c r="I881" s="14">
        <v>254.70782582060568</v>
      </c>
      <c r="J881" s="14">
        <v>255.88407346375138</v>
      </c>
    </row>
    <row r="882" spans="1:10" ht="15.75" x14ac:dyDescent="0.5">
      <c r="A882" s="13" t="s">
        <v>292</v>
      </c>
      <c r="B882" s="13" t="s">
        <v>415</v>
      </c>
      <c r="C882" s="13" t="s">
        <v>400</v>
      </c>
      <c r="D882" s="14">
        <v>440.53124483255561</v>
      </c>
      <c r="E882" s="14">
        <v>874.90671795798721</v>
      </c>
      <c r="F882" s="14">
        <v>1377.8991397902907</v>
      </c>
      <c r="G882" s="14">
        <v>1518.991339951948</v>
      </c>
      <c r="H882" s="14">
        <v>2378.6880856844332</v>
      </c>
      <c r="I882" s="14">
        <v>3694.339055136028</v>
      </c>
      <c r="J882" s="14">
        <v>3736.8515209721049</v>
      </c>
    </row>
    <row r="883" spans="1:10" ht="15.75" x14ac:dyDescent="0.5">
      <c r="A883" s="13" t="s">
        <v>292</v>
      </c>
      <c r="B883" s="13" t="s">
        <v>416</v>
      </c>
      <c r="C883" s="13" t="s">
        <v>400</v>
      </c>
      <c r="D883" s="14" t="s">
        <v>250</v>
      </c>
      <c r="E883" s="14">
        <v>70.934498682900738</v>
      </c>
      <c r="F883" s="14">
        <v>100.19546122793705</v>
      </c>
      <c r="G883" s="14">
        <v>127.69344447727379</v>
      </c>
      <c r="H883" s="14">
        <v>145.88323771792338</v>
      </c>
      <c r="I883" s="14">
        <v>165.77906731373227</v>
      </c>
      <c r="J883" s="14">
        <v>186.28657305490813</v>
      </c>
    </row>
    <row r="884" spans="1:10" ht="15.75" x14ac:dyDescent="0.5">
      <c r="A884" s="13" t="s">
        <v>292</v>
      </c>
      <c r="B884" s="13" t="s">
        <v>417</v>
      </c>
      <c r="C884" s="13" t="s">
        <v>400</v>
      </c>
      <c r="D884" s="14">
        <v>187.48709633408689</v>
      </c>
      <c r="E884" s="14">
        <v>298.30786724466145</v>
      </c>
      <c r="F884" s="14">
        <v>339.94935565504687</v>
      </c>
      <c r="G884" s="14">
        <v>1146.3854195781421</v>
      </c>
      <c r="H884" s="14">
        <v>2855.0717206162249</v>
      </c>
      <c r="I884" s="14">
        <v>4170.7476600634645</v>
      </c>
      <c r="J884" s="14">
        <v>4309.8300452227513</v>
      </c>
    </row>
    <row r="885" spans="1:10" ht="15.75" x14ac:dyDescent="0.5">
      <c r="A885" s="13" t="s">
        <v>292</v>
      </c>
      <c r="B885" s="13" t="s">
        <v>418</v>
      </c>
      <c r="C885" s="13" t="s">
        <v>400</v>
      </c>
      <c r="D885" s="14">
        <v>3.1841751731019534</v>
      </c>
      <c r="E885" s="14">
        <v>3.184175173101953</v>
      </c>
      <c r="F885" s="14">
        <v>3.1841751731019534</v>
      </c>
      <c r="G885" s="14">
        <v>3.1841751731019525</v>
      </c>
      <c r="H885" s="14">
        <v>3.1841751731019539</v>
      </c>
      <c r="I885" s="14">
        <v>3.184175173101953</v>
      </c>
      <c r="J885" s="14">
        <v>3.1841751731019534</v>
      </c>
    </row>
    <row r="886" spans="1:10" ht="15.75" x14ac:dyDescent="0.5">
      <c r="A886" s="13" t="s">
        <v>292</v>
      </c>
      <c r="B886" s="13" t="s">
        <v>419</v>
      </c>
      <c r="C886" s="13" t="s">
        <v>400</v>
      </c>
      <c r="D886" s="14">
        <v>0.54465920264079504</v>
      </c>
      <c r="E886" s="14">
        <v>9.6072650277826828</v>
      </c>
      <c r="F886" s="14">
        <v>87.451015143883865</v>
      </c>
      <c r="G886" s="14">
        <v>263.07189900712535</v>
      </c>
      <c r="H886" s="14">
        <v>1174.2753387368791</v>
      </c>
      <c r="I886" s="14">
        <v>2430.5840043154844</v>
      </c>
      <c r="J886" s="14">
        <v>2598.1740752856313</v>
      </c>
    </row>
    <row r="887" spans="1:10" ht="15.75" x14ac:dyDescent="0.5">
      <c r="A887" s="13" t="s">
        <v>292</v>
      </c>
      <c r="B887" s="13" t="s">
        <v>420</v>
      </c>
      <c r="C887" s="13" t="s">
        <v>400</v>
      </c>
      <c r="D887" s="14">
        <v>-13.987252957808403</v>
      </c>
      <c r="E887" s="14">
        <v>-13.705310822923284</v>
      </c>
      <c r="F887" s="14">
        <v>-13.717928156918362</v>
      </c>
      <c r="G887" s="14">
        <v>-11.776064680658939</v>
      </c>
      <c r="H887" s="14">
        <v>-13.789790291148858</v>
      </c>
      <c r="I887" s="14">
        <v>-17.120450664592717</v>
      </c>
      <c r="J887" s="14">
        <v>-20.951156352744654</v>
      </c>
    </row>
    <row r="888" spans="1:10" ht="15.75" x14ac:dyDescent="0.5">
      <c r="A888" s="13" t="s">
        <v>293</v>
      </c>
      <c r="B888" s="13" t="s">
        <v>399</v>
      </c>
      <c r="C888" s="13" t="s">
        <v>400</v>
      </c>
      <c r="D888" s="14">
        <v>7.2499064625597889</v>
      </c>
      <c r="E888" s="14">
        <v>4.2389343065693544E-2</v>
      </c>
      <c r="F888" s="14">
        <v>0.51246000000000114</v>
      </c>
      <c r="G888" s="14">
        <v>0.7475737116530301</v>
      </c>
      <c r="H888" s="14">
        <v>0.83303458833801547</v>
      </c>
      <c r="I888" s="14">
        <v>0.26019687591240925</v>
      </c>
      <c r="J888" s="14">
        <v>0.62947763494179187</v>
      </c>
    </row>
    <row r="889" spans="1:10" ht="15.75" x14ac:dyDescent="0.5">
      <c r="A889" s="13" t="s">
        <v>293</v>
      </c>
      <c r="B889" s="13" t="s">
        <v>401</v>
      </c>
      <c r="C889" s="13" t="s">
        <v>400</v>
      </c>
      <c r="D889" s="14" t="s">
        <v>250</v>
      </c>
      <c r="E889" s="14" t="s">
        <v>250</v>
      </c>
      <c r="F889" s="14">
        <v>100.5585148205614</v>
      </c>
      <c r="G889" s="14">
        <v>100.55851482056137</v>
      </c>
      <c r="H889" s="14">
        <v>2.8164294035854436</v>
      </c>
      <c r="I889" s="14" t="s">
        <v>250</v>
      </c>
      <c r="J889" s="14" t="s">
        <v>250</v>
      </c>
    </row>
    <row r="890" spans="1:10" ht="15.75" x14ac:dyDescent="0.5">
      <c r="A890" s="13" t="s">
        <v>293</v>
      </c>
      <c r="B890" s="13" t="s">
        <v>402</v>
      </c>
      <c r="C890" s="13" t="s">
        <v>400</v>
      </c>
      <c r="D890" s="14">
        <v>1072.9916742877465</v>
      </c>
      <c r="E890" s="14">
        <v>402.74380390595547</v>
      </c>
      <c r="F890" s="14">
        <v>203.71049622390339</v>
      </c>
      <c r="G890" s="14">
        <v>295.28653699710122</v>
      </c>
      <c r="H890" s="14">
        <v>187.40240500926583</v>
      </c>
      <c r="I890" s="14">
        <v>56.729825750015877</v>
      </c>
      <c r="J890" s="14">
        <v>51.08936339265491</v>
      </c>
    </row>
    <row r="891" spans="1:10" ht="15.75" x14ac:dyDescent="0.5">
      <c r="A891" s="13" t="s">
        <v>293</v>
      </c>
      <c r="B891" s="13" t="s">
        <v>403</v>
      </c>
      <c r="C891" s="13" t="s">
        <v>400</v>
      </c>
      <c r="D891" s="14" t="s">
        <v>250</v>
      </c>
      <c r="E891" s="14" t="s">
        <v>250</v>
      </c>
      <c r="F891" s="14">
        <v>28.78674967360093</v>
      </c>
      <c r="G891" s="14">
        <v>28.786749673600923</v>
      </c>
      <c r="H891" s="14">
        <v>5.8441761523968854</v>
      </c>
      <c r="I891" s="14">
        <v>2.7256302000000057</v>
      </c>
      <c r="J891" s="14" t="s">
        <v>250</v>
      </c>
    </row>
    <row r="892" spans="1:10" ht="15.75" x14ac:dyDescent="0.5">
      <c r="A892" s="13" t="s">
        <v>293</v>
      </c>
      <c r="B892" s="13" t="s">
        <v>405</v>
      </c>
      <c r="C892" s="13" t="s">
        <v>400</v>
      </c>
      <c r="D892" s="14">
        <v>1259.3891290889944</v>
      </c>
      <c r="E892" s="14">
        <v>1309.7206423134219</v>
      </c>
      <c r="F892" s="14">
        <v>1367.1166535363943</v>
      </c>
      <c r="G892" s="14">
        <v>1185.1450957646691</v>
      </c>
      <c r="H892" s="14">
        <v>1027.2427508368164</v>
      </c>
      <c r="I892" s="14">
        <v>649.05824730718666</v>
      </c>
      <c r="J892" s="14">
        <v>671.93224012532835</v>
      </c>
    </row>
    <row r="893" spans="1:10" ht="15.75" x14ac:dyDescent="0.5">
      <c r="A893" s="13" t="s">
        <v>293</v>
      </c>
      <c r="B893" s="13" t="s">
        <v>406</v>
      </c>
      <c r="C893" s="13" t="s">
        <v>400</v>
      </c>
      <c r="D893" s="14">
        <v>23.479196814299332</v>
      </c>
      <c r="E893" s="14">
        <v>23.180203212348598</v>
      </c>
      <c r="F893" s="14">
        <v>42.922803803199564</v>
      </c>
      <c r="G893" s="14">
        <v>40.709943988085513</v>
      </c>
      <c r="H893" s="14">
        <v>36.990645870232733</v>
      </c>
      <c r="I893" s="14">
        <v>33.625858143046557</v>
      </c>
      <c r="J893" s="14">
        <v>30.253509017971613</v>
      </c>
    </row>
    <row r="894" spans="1:10" ht="15.75" x14ac:dyDescent="0.5">
      <c r="A894" s="13" t="s">
        <v>293</v>
      </c>
      <c r="B894" s="13" t="s">
        <v>407</v>
      </c>
      <c r="C894" s="13" t="s">
        <v>400</v>
      </c>
      <c r="D894" s="14" t="s">
        <v>250</v>
      </c>
      <c r="E894" s="14">
        <v>143.30171004552378</v>
      </c>
      <c r="F894" s="14">
        <v>93.848261889860908</v>
      </c>
      <c r="G894" s="14">
        <v>138.12614371519348</v>
      </c>
      <c r="H894" s="14" t="s">
        <v>250</v>
      </c>
      <c r="I894" s="14" t="s">
        <v>250</v>
      </c>
      <c r="J894" s="14" t="s">
        <v>250</v>
      </c>
    </row>
    <row r="895" spans="1:10" ht="15.75" x14ac:dyDescent="0.5">
      <c r="A895" s="13" t="s">
        <v>293</v>
      </c>
      <c r="B895" s="13" t="s">
        <v>408</v>
      </c>
      <c r="C895" s="13" t="s">
        <v>400</v>
      </c>
      <c r="D895" s="14">
        <v>46.892290321001219</v>
      </c>
      <c r="E895" s="14">
        <v>34.988395363680041</v>
      </c>
      <c r="F895" s="14">
        <v>30.788805360784359</v>
      </c>
      <c r="G895" s="14">
        <v>43.949808835813307</v>
      </c>
      <c r="H895" s="14">
        <v>41.202262641473766</v>
      </c>
      <c r="I895" s="14">
        <v>31.15212188332853</v>
      </c>
      <c r="J895" s="14">
        <v>28.792789317681656</v>
      </c>
    </row>
    <row r="896" spans="1:10" ht="15.75" x14ac:dyDescent="0.5">
      <c r="A896" s="13" t="s">
        <v>293</v>
      </c>
      <c r="B896" s="13" t="s">
        <v>409</v>
      </c>
      <c r="C896" s="13" t="s">
        <v>400</v>
      </c>
      <c r="D896" s="14">
        <v>18.365704270000034</v>
      </c>
      <c r="E896" s="14">
        <v>18.365704270000034</v>
      </c>
      <c r="F896" s="14">
        <v>18.36570427000003</v>
      </c>
      <c r="G896" s="14">
        <v>18.365704270000034</v>
      </c>
      <c r="H896" s="14">
        <v>18.36570427000003</v>
      </c>
      <c r="I896" s="14">
        <v>17.862101223829093</v>
      </c>
      <c r="J896" s="14">
        <v>17.473961741163532</v>
      </c>
    </row>
    <row r="897" spans="1:10" ht="15.75" x14ac:dyDescent="0.5">
      <c r="A897" s="13" t="s">
        <v>293</v>
      </c>
      <c r="B897" s="13" t="s">
        <v>410</v>
      </c>
      <c r="C897" s="13" t="s">
        <v>400</v>
      </c>
      <c r="D897" s="14">
        <v>245.79356253202215</v>
      </c>
      <c r="E897" s="14">
        <v>244.71024848789327</v>
      </c>
      <c r="F897" s="14">
        <v>246.12319367844216</v>
      </c>
      <c r="G897" s="14">
        <v>246.16997594139102</v>
      </c>
      <c r="H897" s="14">
        <v>246.16997594139102</v>
      </c>
      <c r="I897" s="14">
        <v>246.16997594139102</v>
      </c>
      <c r="J897" s="14">
        <v>245.69526826898235</v>
      </c>
    </row>
    <row r="898" spans="1:10" ht="15.75" x14ac:dyDescent="0.5">
      <c r="A898" s="13" t="s">
        <v>293</v>
      </c>
      <c r="B898" s="13" t="s">
        <v>411</v>
      </c>
      <c r="C898" s="13" t="s">
        <v>400</v>
      </c>
      <c r="D898" s="14">
        <v>7.1394000000000162</v>
      </c>
      <c r="E898" s="14">
        <v>6.1095605441104048</v>
      </c>
      <c r="F898" s="14" t="s">
        <v>250</v>
      </c>
      <c r="G898" s="14" t="s">
        <v>250</v>
      </c>
      <c r="H898" s="14" t="s">
        <v>250</v>
      </c>
      <c r="I898" s="14" t="s">
        <v>250</v>
      </c>
      <c r="J898" s="14" t="s">
        <v>250</v>
      </c>
    </row>
    <row r="899" spans="1:10" ht="15.75" x14ac:dyDescent="0.5">
      <c r="A899" s="13" t="s">
        <v>293</v>
      </c>
      <c r="B899" s="13" t="s">
        <v>412</v>
      </c>
      <c r="C899" s="13" t="s">
        <v>400</v>
      </c>
      <c r="D899" s="14">
        <v>760.72545968400175</v>
      </c>
      <c r="E899" s="14">
        <v>748.69108316908546</v>
      </c>
      <c r="F899" s="14">
        <v>636.64002274408369</v>
      </c>
      <c r="G899" s="14">
        <v>679.58509079363205</v>
      </c>
      <c r="H899" s="14">
        <v>194.84188206747663</v>
      </c>
      <c r="I899" s="14">
        <v>4.8627529175914379</v>
      </c>
      <c r="J899" s="14">
        <v>17.045168103958517</v>
      </c>
    </row>
    <row r="900" spans="1:10" ht="15.75" x14ac:dyDescent="0.5">
      <c r="A900" s="13" t="s">
        <v>293</v>
      </c>
      <c r="B900" s="13" t="s">
        <v>413</v>
      </c>
      <c r="C900" s="13" t="s">
        <v>400</v>
      </c>
      <c r="D900" s="14">
        <v>23.702927619886133</v>
      </c>
      <c r="E900" s="14">
        <v>19.551943517790995</v>
      </c>
      <c r="F900" s="14">
        <v>5.6168364940026718</v>
      </c>
      <c r="G900" s="14">
        <v>3.3764972392892529</v>
      </c>
      <c r="H900" s="14">
        <v>1.6989560620055102</v>
      </c>
      <c r="I900" s="14">
        <v>1.284501738007612</v>
      </c>
      <c r="J900" s="14">
        <v>1.5955638832116819</v>
      </c>
    </row>
    <row r="901" spans="1:10" ht="15.75" x14ac:dyDescent="0.5">
      <c r="A901" s="13" t="s">
        <v>293</v>
      </c>
      <c r="B901" s="13" t="s">
        <v>414</v>
      </c>
      <c r="C901" s="13" t="s">
        <v>400</v>
      </c>
      <c r="D901" s="14">
        <v>0.68039077051094998</v>
      </c>
      <c r="E901" s="14">
        <v>24.426397150733408</v>
      </c>
      <c r="F901" s="14">
        <v>100.49298171141356</v>
      </c>
      <c r="G901" s="14">
        <v>206.74852171306901</v>
      </c>
      <c r="H901" s="14">
        <v>253.18935635016072</v>
      </c>
      <c r="I901" s="14">
        <v>254.70842174214016</v>
      </c>
      <c r="J901" s="14">
        <v>255.88467240572538</v>
      </c>
    </row>
    <row r="902" spans="1:10" ht="15.75" x14ac:dyDescent="0.5">
      <c r="A902" s="13" t="s">
        <v>293</v>
      </c>
      <c r="B902" s="13" t="s">
        <v>415</v>
      </c>
      <c r="C902" s="13" t="s">
        <v>400</v>
      </c>
      <c r="D902" s="14">
        <v>440.53124483255539</v>
      </c>
      <c r="E902" s="14">
        <v>874.90671795798721</v>
      </c>
      <c r="F902" s="14">
        <v>1377.8945841862233</v>
      </c>
      <c r="G902" s="14">
        <v>1518.8074796708279</v>
      </c>
      <c r="H902" s="14">
        <v>2379.9697645871479</v>
      </c>
      <c r="I902" s="14">
        <v>3697.9509418642083</v>
      </c>
      <c r="J902" s="14">
        <v>3739.3652479221209</v>
      </c>
    </row>
    <row r="903" spans="1:10" ht="15.75" x14ac:dyDescent="0.5">
      <c r="A903" s="13" t="s">
        <v>293</v>
      </c>
      <c r="B903" s="13" t="s">
        <v>416</v>
      </c>
      <c r="C903" s="13" t="s">
        <v>400</v>
      </c>
      <c r="D903" s="14" t="s">
        <v>250</v>
      </c>
      <c r="E903" s="14">
        <v>70.934498682900752</v>
      </c>
      <c r="F903" s="14">
        <v>100.19546122793703</v>
      </c>
      <c r="G903" s="14">
        <v>127.69344447727372</v>
      </c>
      <c r="H903" s="14">
        <v>145.88323771792341</v>
      </c>
      <c r="I903" s="14">
        <v>165.77906731373218</v>
      </c>
      <c r="J903" s="14">
        <v>186.2865730549081</v>
      </c>
    </row>
    <row r="904" spans="1:10" ht="15.75" x14ac:dyDescent="0.5">
      <c r="A904" s="13" t="s">
        <v>293</v>
      </c>
      <c r="B904" s="13" t="s">
        <v>417</v>
      </c>
      <c r="C904" s="13" t="s">
        <v>400</v>
      </c>
      <c r="D904" s="14">
        <v>187.48709633408689</v>
      </c>
      <c r="E904" s="14">
        <v>298.30786724466162</v>
      </c>
      <c r="F904" s="14">
        <v>339.94935565504659</v>
      </c>
      <c r="G904" s="14">
        <v>1147.1059608768298</v>
      </c>
      <c r="H904" s="14">
        <v>2853.1684323965483</v>
      </c>
      <c r="I904" s="14">
        <v>4161.3326902674316</v>
      </c>
      <c r="J904" s="14">
        <v>4298.8578671676651</v>
      </c>
    </row>
    <row r="905" spans="1:10" ht="15.75" x14ac:dyDescent="0.5">
      <c r="A905" s="13" t="s">
        <v>293</v>
      </c>
      <c r="B905" s="13" t="s">
        <v>418</v>
      </c>
      <c r="C905" s="13" t="s">
        <v>400</v>
      </c>
      <c r="D905" s="14">
        <v>3.184175173101953</v>
      </c>
      <c r="E905" s="14">
        <v>3.1841751731019534</v>
      </c>
      <c r="F905" s="14">
        <v>3.1841751731019534</v>
      </c>
      <c r="G905" s="14">
        <v>3.1841751731019539</v>
      </c>
      <c r="H905" s="14">
        <v>3.184175173101953</v>
      </c>
      <c r="I905" s="14">
        <v>3.1841751731019543</v>
      </c>
      <c r="J905" s="14">
        <v>3.1841751731019534</v>
      </c>
    </row>
    <row r="906" spans="1:10" ht="15.75" x14ac:dyDescent="0.5">
      <c r="A906" s="13" t="s">
        <v>293</v>
      </c>
      <c r="B906" s="13" t="s">
        <v>419</v>
      </c>
      <c r="C906" s="13" t="s">
        <v>400</v>
      </c>
      <c r="D906" s="14">
        <v>0.54465920264079504</v>
      </c>
      <c r="E906" s="14">
        <v>9.6079245641144961</v>
      </c>
      <c r="F906" s="14">
        <v>87.488671340398298</v>
      </c>
      <c r="G906" s="14">
        <v>263.38891851424535</v>
      </c>
      <c r="H906" s="14">
        <v>1174.1653010627733</v>
      </c>
      <c r="I906" s="14">
        <v>2428.7604412951941</v>
      </c>
      <c r="J906" s="14">
        <v>2594.9209210609097</v>
      </c>
    </row>
    <row r="907" spans="1:10" ht="15.75" x14ac:dyDescent="0.5">
      <c r="A907" s="13" t="s">
        <v>293</v>
      </c>
      <c r="B907" s="13" t="s">
        <v>420</v>
      </c>
      <c r="C907" s="13" t="s">
        <v>400</v>
      </c>
      <c r="D907" s="14">
        <v>-13.987252957808376</v>
      </c>
      <c r="E907" s="14">
        <v>-13.695357556447073</v>
      </c>
      <c r="F907" s="14">
        <v>-13.710942481470417</v>
      </c>
      <c r="G907" s="14">
        <v>-11.771239033764946</v>
      </c>
      <c r="H907" s="14">
        <v>-13.781544678238131</v>
      </c>
      <c r="I907" s="14">
        <v>-17.171666171236865</v>
      </c>
      <c r="J907" s="14">
        <v>-21.022586980086448</v>
      </c>
    </row>
    <row r="908" spans="1:10" ht="15.75" x14ac:dyDescent="0.5">
      <c r="A908" s="13" t="s">
        <v>294</v>
      </c>
      <c r="B908" s="13" t="s">
        <v>399</v>
      </c>
      <c r="C908" s="13" t="s">
        <v>400</v>
      </c>
      <c r="D908" s="14">
        <v>7.2499064625597889</v>
      </c>
      <c r="E908" s="14">
        <v>4.2389343065693544E-2</v>
      </c>
      <c r="F908" s="14">
        <v>0.51246000000000114</v>
      </c>
      <c r="G908" s="14">
        <v>0.74757371165302999</v>
      </c>
      <c r="H908" s="14">
        <v>0.81161169782706644</v>
      </c>
      <c r="I908" s="14">
        <v>0.24511287591240924</v>
      </c>
      <c r="J908" s="14">
        <v>0.69616773722627845</v>
      </c>
    </row>
    <row r="909" spans="1:10" ht="15.75" x14ac:dyDescent="0.5">
      <c r="A909" s="13" t="s">
        <v>294</v>
      </c>
      <c r="B909" s="13" t="s">
        <v>401</v>
      </c>
      <c r="C909" s="13" t="s">
        <v>400</v>
      </c>
      <c r="D909" s="14" t="s">
        <v>250</v>
      </c>
      <c r="E909" s="14" t="s">
        <v>250</v>
      </c>
      <c r="F909" s="14">
        <v>100.09044336236566</v>
      </c>
      <c r="G909" s="14">
        <v>100.09044336236568</v>
      </c>
      <c r="H909" s="14">
        <v>2.6437275456862683</v>
      </c>
      <c r="I909" s="14" t="s">
        <v>250</v>
      </c>
      <c r="J909" s="14" t="s">
        <v>250</v>
      </c>
    </row>
    <row r="910" spans="1:10" ht="15.75" x14ac:dyDescent="0.5">
      <c r="A910" s="13" t="s">
        <v>294</v>
      </c>
      <c r="B910" s="13" t="s">
        <v>402</v>
      </c>
      <c r="C910" s="13" t="s">
        <v>400</v>
      </c>
      <c r="D910" s="14">
        <v>1072.9916742877465</v>
      </c>
      <c r="E910" s="14">
        <v>402.8029306909541</v>
      </c>
      <c r="F910" s="14">
        <v>204.23494146546508</v>
      </c>
      <c r="G910" s="14">
        <v>293.98372945973551</v>
      </c>
      <c r="H910" s="14">
        <v>182.82159805465943</v>
      </c>
      <c r="I910" s="14">
        <v>56.429674888465073</v>
      </c>
      <c r="J910" s="14">
        <v>53.629775363871893</v>
      </c>
    </row>
    <row r="911" spans="1:10" ht="15.75" x14ac:dyDescent="0.5">
      <c r="A911" s="13" t="s">
        <v>294</v>
      </c>
      <c r="B911" s="13" t="s">
        <v>403</v>
      </c>
      <c r="C911" s="13" t="s">
        <v>400</v>
      </c>
      <c r="D911" s="14" t="s">
        <v>250</v>
      </c>
      <c r="E911" s="14" t="s">
        <v>250</v>
      </c>
      <c r="F911" s="14">
        <v>25.849169490924616</v>
      </c>
      <c r="G911" s="14">
        <v>25.84916949092462</v>
      </c>
      <c r="H911" s="14">
        <v>5.25031289589168</v>
      </c>
      <c r="I911" s="14">
        <v>2.2941618736968916</v>
      </c>
      <c r="J911" s="14" t="s">
        <v>250</v>
      </c>
    </row>
    <row r="912" spans="1:10" ht="15.75" x14ac:dyDescent="0.5">
      <c r="A912" s="13" t="s">
        <v>294</v>
      </c>
      <c r="B912" s="13" t="s">
        <v>421</v>
      </c>
      <c r="C912" s="13" t="s">
        <v>400</v>
      </c>
      <c r="D912" s="14" t="s">
        <v>250</v>
      </c>
      <c r="E912" s="14" t="s">
        <v>250</v>
      </c>
      <c r="F912" s="14" t="s">
        <v>250</v>
      </c>
      <c r="G912" s="14">
        <v>23.31106856459698</v>
      </c>
      <c r="H912" s="14">
        <v>61.888800200236744</v>
      </c>
      <c r="I912" s="14">
        <v>57.941963458016936</v>
      </c>
      <c r="J912" s="14">
        <v>9.9210554031134279</v>
      </c>
    </row>
    <row r="913" spans="1:10" ht="15.75" x14ac:dyDescent="0.5">
      <c r="A913" s="13" t="s">
        <v>294</v>
      </c>
      <c r="B913" s="13" t="s">
        <v>405</v>
      </c>
      <c r="C913" s="13" t="s">
        <v>400</v>
      </c>
      <c r="D913" s="14">
        <v>1259.3891290889937</v>
      </c>
      <c r="E913" s="14">
        <v>1309.3535943031616</v>
      </c>
      <c r="F913" s="14">
        <v>1367.0224018765434</v>
      </c>
      <c r="G913" s="14">
        <v>1172.5234511189758</v>
      </c>
      <c r="H913" s="14">
        <v>992.91099855969435</v>
      </c>
      <c r="I913" s="14">
        <v>612.57488202079878</v>
      </c>
      <c r="J913" s="14">
        <v>673.42115364710287</v>
      </c>
    </row>
    <row r="914" spans="1:10" ht="15.75" x14ac:dyDescent="0.5">
      <c r="A914" s="13" t="s">
        <v>294</v>
      </c>
      <c r="B914" s="13" t="s">
        <v>406</v>
      </c>
      <c r="C914" s="13" t="s">
        <v>400</v>
      </c>
      <c r="D914" s="14">
        <v>23.479196814299335</v>
      </c>
      <c r="E914" s="14">
        <v>23.272474073000986</v>
      </c>
      <c r="F914" s="14">
        <v>42.975166788691894</v>
      </c>
      <c r="G914" s="14">
        <v>40.802059230682069</v>
      </c>
      <c r="H914" s="14">
        <v>37.041983804427119</v>
      </c>
      <c r="I914" s="14">
        <v>33.387489392340356</v>
      </c>
      <c r="J914" s="14">
        <v>29.998343090881903</v>
      </c>
    </row>
    <row r="915" spans="1:10" ht="15.75" x14ac:dyDescent="0.5">
      <c r="A915" s="13" t="s">
        <v>294</v>
      </c>
      <c r="B915" s="13" t="s">
        <v>407</v>
      </c>
      <c r="C915" s="13" t="s">
        <v>400</v>
      </c>
      <c r="D915" s="14" t="s">
        <v>250</v>
      </c>
      <c r="E915" s="14">
        <v>143.19376746779795</v>
      </c>
      <c r="F915" s="14">
        <v>95.79972539549081</v>
      </c>
      <c r="G915" s="14">
        <v>136.33622764659694</v>
      </c>
      <c r="H915" s="14" t="s">
        <v>250</v>
      </c>
      <c r="I915" s="14" t="s">
        <v>250</v>
      </c>
      <c r="J915" s="14" t="s">
        <v>250</v>
      </c>
    </row>
    <row r="916" spans="1:10" ht="15.75" x14ac:dyDescent="0.5">
      <c r="A916" s="13" t="s">
        <v>294</v>
      </c>
      <c r="B916" s="13" t="s">
        <v>408</v>
      </c>
      <c r="C916" s="13" t="s">
        <v>400</v>
      </c>
      <c r="D916" s="14">
        <v>46.892290321001227</v>
      </c>
      <c r="E916" s="14">
        <v>35.016539483342626</v>
      </c>
      <c r="F916" s="14">
        <v>30.801892718247828</v>
      </c>
      <c r="G916" s="14">
        <v>43.878286542362716</v>
      </c>
      <c r="H916" s="14">
        <v>41.229906091874007</v>
      </c>
      <c r="I916" s="14">
        <v>30.907814939714886</v>
      </c>
      <c r="J916" s="14">
        <v>29.06708886211457</v>
      </c>
    </row>
    <row r="917" spans="1:10" ht="15.75" x14ac:dyDescent="0.5">
      <c r="A917" s="13" t="s">
        <v>294</v>
      </c>
      <c r="B917" s="13" t="s">
        <v>409</v>
      </c>
      <c r="C917" s="13" t="s">
        <v>400</v>
      </c>
      <c r="D917" s="14">
        <v>18.365704270000034</v>
      </c>
      <c r="E917" s="14">
        <v>18.36570427000003</v>
      </c>
      <c r="F917" s="14">
        <v>18.36570427000003</v>
      </c>
      <c r="G917" s="14">
        <v>18.36570427000003</v>
      </c>
      <c r="H917" s="14">
        <v>18.365704270000034</v>
      </c>
      <c r="I917" s="14">
        <v>17.855766266625515</v>
      </c>
      <c r="J917" s="14">
        <v>17.479967233641478</v>
      </c>
    </row>
    <row r="918" spans="1:10" ht="15.75" x14ac:dyDescent="0.5">
      <c r="A918" s="13" t="s">
        <v>294</v>
      </c>
      <c r="B918" s="13" t="s">
        <v>410</v>
      </c>
      <c r="C918" s="13" t="s">
        <v>400</v>
      </c>
      <c r="D918" s="14">
        <v>245.79356253202218</v>
      </c>
      <c r="E918" s="14">
        <v>244.69758350130775</v>
      </c>
      <c r="F918" s="14">
        <v>245.99759015958585</v>
      </c>
      <c r="G918" s="14">
        <v>246.16997594139096</v>
      </c>
      <c r="H918" s="14">
        <v>246.16997594139121</v>
      </c>
      <c r="I918" s="14">
        <v>246.1699759413911</v>
      </c>
      <c r="J918" s="14">
        <v>245.69526826898186</v>
      </c>
    </row>
    <row r="919" spans="1:10" ht="15.75" x14ac:dyDescent="0.5">
      <c r="A919" s="13" t="s">
        <v>294</v>
      </c>
      <c r="B919" s="13" t="s">
        <v>411</v>
      </c>
      <c r="C919" s="13" t="s">
        <v>400</v>
      </c>
      <c r="D919" s="14">
        <v>7.1394000000000144</v>
      </c>
      <c r="E919" s="14">
        <v>6.2121135766423503</v>
      </c>
      <c r="F919" s="14" t="s">
        <v>250</v>
      </c>
      <c r="G919" s="14" t="s">
        <v>250</v>
      </c>
      <c r="H919" s="14" t="s">
        <v>250</v>
      </c>
      <c r="I919" s="14" t="s">
        <v>250</v>
      </c>
      <c r="J919" s="14" t="s">
        <v>250</v>
      </c>
    </row>
    <row r="920" spans="1:10" ht="15.75" x14ac:dyDescent="0.5">
      <c r="A920" s="13" t="s">
        <v>294</v>
      </c>
      <c r="B920" s="13" t="s">
        <v>412</v>
      </c>
      <c r="C920" s="13" t="s">
        <v>400</v>
      </c>
      <c r="D920" s="14">
        <v>760.72545968400175</v>
      </c>
      <c r="E920" s="14">
        <v>748.68099743700679</v>
      </c>
      <c r="F920" s="14">
        <v>636.66831460416142</v>
      </c>
      <c r="G920" s="14">
        <v>679.34469062505752</v>
      </c>
      <c r="H920" s="14">
        <v>187.24597183689752</v>
      </c>
      <c r="I920" s="14">
        <v>4.860293290486406</v>
      </c>
      <c r="J920" s="14">
        <v>6.0804592707019367</v>
      </c>
    </row>
    <row r="921" spans="1:10" ht="15.75" x14ac:dyDescent="0.5">
      <c r="A921" s="13" t="s">
        <v>294</v>
      </c>
      <c r="B921" s="13" t="s">
        <v>413</v>
      </c>
      <c r="C921" s="13" t="s">
        <v>400</v>
      </c>
      <c r="D921" s="14">
        <v>23.702927619886136</v>
      </c>
      <c r="E921" s="14">
        <v>19.698681817895451</v>
      </c>
      <c r="F921" s="14">
        <v>5.8113448268468311</v>
      </c>
      <c r="G921" s="14">
        <v>3.1593412339890192</v>
      </c>
      <c r="H921" s="14">
        <v>1.670546658994454</v>
      </c>
      <c r="I921" s="14">
        <v>1.1818942611233905</v>
      </c>
      <c r="J921" s="14">
        <v>1.2088714487017915</v>
      </c>
    </row>
    <row r="922" spans="1:10" ht="15.75" x14ac:dyDescent="0.5">
      <c r="A922" s="13" t="s">
        <v>294</v>
      </c>
      <c r="B922" s="13" t="s">
        <v>414</v>
      </c>
      <c r="C922" s="13" t="s">
        <v>400</v>
      </c>
      <c r="D922" s="14">
        <v>0.6803907705109502</v>
      </c>
      <c r="E922" s="14">
        <v>24.426397150733411</v>
      </c>
      <c r="F922" s="14">
        <v>100.49310105469236</v>
      </c>
      <c r="G922" s="14">
        <v>206.74885015752201</v>
      </c>
      <c r="H922" s="14">
        <v>253.18968773777658</v>
      </c>
      <c r="I922" s="14">
        <v>254.70875532147309</v>
      </c>
      <c r="J922" s="14">
        <v>255.88500767581147</v>
      </c>
    </row>
    <row r="923" spans="1:10" ht="15.75" x14ac:dyDescent="0.5">
      <c r="A923" s="13" t="s">
        <v>294</v>
      </c>
      <c r="B923" s="13" t="s">
        <v>415</v>
      </c>
      <c r="C923" s="13" t="s">
        <v>400</v>
      </c>
      <c r="D923" s="14">
        <v>440.53124483255561</v>
      </c>
      <c r="E923" s="14">
        <v>874.90671788693851</v>
      </c>
      <c r="F923" s="14">
        <v>1378.2929141914283</v>
      </c>
      <c r="G923" s="14">
        <v>1518.6027243106728</v>
      </c>
      <c r="H923" s="14">
        <v>2375.0172964050716</v>
      </c>
      <c r="I923" s="14">
        <v>3690.1732790390342</v>
      </c>
      <c r="J923" s="14">
        <v>3734.2144913618299</v>
      </c>
    </row>
    <row r="924" spans="1:10" ht="15.75" x14ac:dyDescent="0.5">
      <c r="A924" s="13" t="s">
        <v>294</v>
      </c>
      <c r="B924" s="13" t="s">
        <v>416</v>
      </c>
      <c r="C924" s="13" t="s">
        <v>400</v>
      </c>
      <c r="D924" s="14" t="s">
        <v>250</v>
      </c>
      <c r="E924" s="14">
        <v>70.934498682900724</v>
      </c>
      <c r="F924" s="14">
        <v>100.19546122793705</v>
      </c>
      <c r="G924" s="14">
        <v>127.69344447727372</v>
      </c>
      <c r="H924" s="14">
        <v>145.88323771792346</v>
      </c>
      <c r="I924" s="14">
        <v>165.77906731373227</v>
      </c>
      <c r="J924" s="14">
        <v>186.28657305490799</v>
      </c>
    </row>
    <row r="925" spans="1:10" ht="15.75" x14ac:dyDescent="0.5">
      <c r="A925" s="13" t="s">
        <v>294</v>
      </c>
      <c r="B925" s="13" t="s">
        <v>417</v>
      </c>
      <c r="C925" s="13" t="s">
        <v>400</v>
      </c>
      <c r="D925" s="14">
        <v>187.48709633408691</v>
      </c>
      <c r="E925" s="14">
        <v>298.30786724466157</v>
      </c>
      <c r="F925" s="14">
        <v>339.94935565504699</v>
      </c>
      <c r="G925" s="14">
        <v>1143.3675483924783</v>
      </c>
      <c r="H925" s="14">
        <v>2848.296395707046</v>
      </c>
      <c r="I925" s="14">
        <v>4165.2567116119699</v>
      </c>
      <c r="J925" s="14">
        <v>4305.0509062879446</v>
      </c>
    </row>
    <row r="926" spans="1:10" ht="15.75" x14ac:dyDescent="0.5">
      <c r="A926" s="13" t="s">
        <v>294</v>
      </c>
      <c r="B926" s="13" t="s">
        <v>418</v>
      </c>
      <c r="C926" s="13" t="s">
        <v>400</v>
      </c>
      <c r="D926" s="14">
        <v>3.1841751731019534</v>
      </c>
      <c r="E926" s="14">
        <v>3.184175173101953</v>
      </c>
      <c r="F926" s="14">
        <v>3.184175173101953</v>
      </c>
      <c r="G926" s="14">
        <v>3.1841751731019534</v>
      </c>
      <c r="H926" s="14">
        <v>3.1841751731019539</v>
      </c>
      <c r="I926" s="14">
        <v>3.184175173101953</v>
      </c>
      <c r="J926" s="14">
        <v>3.1841751731019539</v>
      </c>
    </row>
    <row r="927" spans="1:10" ht="15.75" x14ac:dyDescent="0.5">
      <c r="A927" s="13" t="s">
        <v>294</v>
      </c>
      <c r="B927" s="13" t="s">
        <v>419</v>
      </c>
      <c r="C927" s="13" t="s">
        <v>400</v>
      </c>
      <c r="D927" s="14">
        <v>0.54465920264079493</v>
      </c>
      <c r="E927" s="14">
        <v>9.6249997810240142</v>
      </c>
      <c r="F927" s="14">
        <v>88.26061180031148</v>
      </c>
      <c r="G927" s="14">
        <v>260.73184635389316</v>
      </c>
      <c r="H927" s="14">
        <v>1158.7984140032825</v>
      </c>
      <c r="I927" s="14">
        <v>2405.7472034780581</v>
      </c>
      <c r="J927" s="14">
        <v>2587.3042556986607</v>
      </c>
    </row>
    <row r="928" spans="1:10" ht="15.75" x14ac:dyDescent="0.5">
      <c r="A928" s="13" t="s">
        <v>294</v>
      </c>
      <c r="B928" s="13" t="s">
        <v>420</v>
      </c>
      <c r="C928" s="13" t="s">
        <v>400</v>
      </c>
      <c r="D928" s="14">
        <v>-13.987252957808355</v>
      </c>
      <c r="E928" s="14">
        <v>-13.653976087430266</v>
      </c>
      <c r="F928" s="14">
        <v>-13.651974586705027</v>
      </c>
      <c r="G928" s="14">
        <v>-11.816304849489597</v>
      </c>
      <c r="H928" s="14">
        <v>-13.786150361190263</v>
      </c>
      <c r="I928" s="14">
        <v>-17.323504902749889</v>
      </c>
      <c r="J928" s="14">
        <v>-20.979846344447559</v>
      </c>
    </row>
    <row r="929" spans="1:10" ht="15.75" x14ac:dyDescent="0.5">
      <c r="A929" s="13" t="s">
        <v>295</v>
      </c>
      <c r="B929" s="13" t="s">
        <v>399</v>
      </c>
      <c r="C929" s="13" t="s">
        <v>400</v>
      </c>
      <c r="D929" s="14">
        <v>7.2499064625597889</v>
      </c>
      <c r="E929" s="14">
        <v>4.2389343065693544E-2</v>
      </c>
      <c r="F929" s="14">
        <v>0.51246000000000103</v>
      </c>
      <c r="G929" s="14">
        <v>0.7475737116530301</v>
      </c>
      <c r="H929" s="14">
        <v>0.81161169782706644</v>
      </c>
      <c r="I929" s="14">
        <v>0.24511287591240921</v>
      </c>
      <c r="J929" s="14">
        <v>0.69616773722627856</v>
      </c>
    </row>
    <row r="930" spans="1:10" ht="15.75" x14ac:dyDescent="0.5">
      <c r="A930" s="13" t="s">
        <v>295</v>
      </c>
      <c r="B930" s="13" t="s">
        <v>401</v>
      </c>
      <c r="C930" s="13" t="s">
        <v>400</v>
      </c>
      <c r="D930" s="14" t="s">
        <v>250</v>
      </c>
      <c r="E930" s="14" t="s">
        <v>250</v>
      </c>
      <c r="F930" s="14">
        <v>100.0904387522436</v>
      </c>
      <c r="G930" s="14">
        <v>100.09043875224359</v>
      </c>
      <c r="H930" s="14">
        <v>2.6437275456862679</v>
      </c>
      <c r="I930" s="14" t="s">
        <v>250</v>
      </c>
      <c r="J930" s="14" t="s">
        <v>250</v>
      </c>
    </row>
    <row r="931" spans="1:10" ht="15.75" x14ac:dyDescent="0.5">
      <c r="A931" s="13" t="s">
        <v>295</v>
      </c>
      <c r="B931" s="13" t="s">
        <v>402</v>
      </c>
      <c r="C931" s="13" t="s">
        <v>400</v>
      </c>
      <c r="D931" s="14">
        <v>1072.9916742877465</v>
      </c>
      <c r="E931" s="14">
        <v>402.80293145255575</v>
      </c>
      <c r="F931" s="14">
        <v>204.23494237175706</v>
      </c>
      <c r="G931" s="14">
        <v>293.98373344949891</v>
      </c>
      <c r="H931" s="14">
        <v>182.82159851384014</v>
      </c>
      <c r="I931" s="14">
        <v>56.429676098612219</v>
      </c>
      <c r="J931" s="14">
        <v>53.629783042954671</v>
      </c>
    </row>
    <row r="932" spans="1:10" ht="15.75" x14ac:dyDescent="0.5">
      <c r="A932" s="13" t="s">
        <v>295</v>
      </c>
      <c r="B932" s="13" t="s">
        <v>403</v>
      </c>
      <c r="C932" s="13" t="s">
        <v>400</v>
      </c>
      <c r="D932" s="14" t="s">
        <v>250</v>
      </c>
      <c r="E932" s="14" t="s">
        <v>250</v>
      </c>
      <c r="F932" s="14">
        <v>25.84916938750068</v>
      </c>
      <c r="G932" s="14">
        <v>25.849169387500687</v>
      </c>
      <c r="H932" s="14">
        <v>5.2503128759099713</v>
      </c>
      <c r="I932" s="14">
        <v>2.2941618279302451</v>
      </c>
      <c r="J932" s="14" t="s">
        <v>250</v>
      </c>
    </row>
    <row r="933" spans="1:10" ht="15.75" x14ac:dyDescent="0.5">
      <c r="A933" s="13" t="s">
        <v>295</v>
      </c>
      <c r="B933" s="13" t="s">
        <v>421</v>
      </c>
      <c r="C933" s="13" t="s">
        <v>400</v>
      </c>
      <c r="D933" s="14" t="s">
        <v>250</v>
      </c>
      <c r="E933" s="14" t="s">
        <v>250</v>
      </c>
      <c r="F933" s="14" t="s">
        <v>250</v>
      </c>
      <c r="G933" s="14">
        <v>23.311066171975845</v>
      </c>
      <c r="H933" s="14">
        <v>61.888793101569696</v>
      </c>
      <c r="I933" s="14">
        <v>57.941955983066485</v>
      </c>
      <c r="J933" s="14">
        <v>9.9210543848277819</v>
      </c>
    </row>
    <row r="934" spans="1:10" ht="15.75" x14ac:dyDescent="0.5">
      <c r="A934" s="13" t="s">
        <v>295</v>
      </c>
      <c r="B934" s="13" t="s">
        <v>405</v>
      </c>
      <c r="C934" s="13" t="s">
        <v>400</v>
      </c>
      <c r="D934" s="14">
        <v>1259.3891290889947</v>
      </c>
      <c r="E934" s="14">
        <v>1309.3535928533288</v>
      </c>
      <c r="F934" s="14">
        <v>1367.0224030454763</v>
      </c>
      <c r="G934" s="14">
        <v>1172.5234508107492</v>
      </c>
      <c r="H934" s="14">
        <v>992.91099816346571</v>
      </c>
      <c r="I934" s="14">
        <v>612.57488648484389</v>
      </c>
      <c r="J934" s="14">
        <v>673.4211380691828</v>
      </c>
    </row>
    <row r="935" spans="1:10" ht="15.75" x14ac:dyDescent="0.5">
      <c r="A935" s="13" t="s">
        <v>295</v>
      </c>
      <c r="B935" s="13" t="s">
        <v>406</v>
      </c>
      <c r="C935" s="13" t="s">
        <v>400</v>
      </c>
      <c r="D935" s="14">
        <v>23.479196814299328</v>
      </c>
      <c r="E935" s="14">
        <v>23.272473754991985</v>
      </c>
      <c r="F935" s="14">
        <v>42.97516632101631</v>
      </c>
      <c r="G935" s="14">
        <v>40.80205913703913</v>
      </c>
      <c r="H935" s="14">
        <v>37.04198395352325</v>
      </c>
      <c r="I935" s="14">
        <v>33.387489384429628</v>
      </c>
      <c r="J935" s="14">
        <v>29.998342273448181</v>
      </c>
    </row>
    <row r="936" spans="1:10" ht="15.75" x14ac:dyDescent="0.5">
      <c r="A936" s="13" t="s">
        <v>295</v>
      </c>
      <c r="B936" s="13" t="s">
        <v>407</v>
      </c>
      <c r="C936" s="13" t="s">
        <v>400</v>
      </c>
      <c r="D936" s="14" t="s">
        <v>250</v>
      </c>
      <c r="E936" s="14">
        <v>143.19376838296648</v>
      </c>
      <c r="F936" s="14">
        <v>95.79972744511953</v>
      </c>
      <c r="G936" s="14">
        <v>136.33622902530314</v>
      </c>
      <c r="H936" s="14" t="s">
        <v>250</v>
      </c>
      <c r="I936" s="14" t="s">
        <v>250</v>
      </c>
      <c r="J936" s="14" t="s">
        <v>250</v>
      </c>
    </row>
    <row r="937" spans="1:10" ht="15.75" x14ac:dyDescent="0.5">
      <c r="A937" s="13" t="s">
        <v>295</v>
      </c>
      <c r="B937" s="13" t="s">
        <v>408</v>
      </c>
      <c r="C937" s="13" t="s">
        <v>400</v>
      </c>
      <c r="D937" s="14">
        <v>46.892290321001234</v>
      </c>
      <c r="E937" s="14">
        <v>35.016539483342626</v>
      </c>
      <c r="F937" s="14">
        <v>30.801892620126051</v>
      </c>
      <c r="G937" s="14">
        <v>43.878286879838434</v>
      </c>
      <c r="H937" s="14">
        <v>41.229907326610139</v>
      </c>
      <c r="I937" s="14">
        <v>30.907815661186213</v>
      </c>
      <c r="J937" s="14">
        <v>29.067088603537602</v>
      </c>
    </row>
    <row r="938" spans="1:10" ht="15.75" x14ac:dyDescent="0.5">
      <c r="A938" s="13" t="s">
        <v>295</v>
      </c>
      <c r="B938" s="13" t="s">
        <v>409</v>
      </c>
      <c r="C938" s="13" t="s">
        <v>400</v>
      </c>
      <c r="D938" s="14">
        <v>18.365704270000037</v>
      </c>
      <c r="E938" s="14">
        <v>18.36570427000003</v>
      </c>
      <c r="F938" s="14">
        <v>18.365704270000034</v>
      </c>
      <c r="G938" s="14">
        <v>18.365704270000037</v>
      </c>
      <c r="H938" s="14">
        <v>18.365704270000041</v>
      </c>
      <c r="I938" s="14">
        <v>17.855766421015272</v>
      </c>
      <c r="J938" s="14">
        <v>17.479967331595251</v>
      </c>
    </row>
    <row r="939" spans="1:10" ht="15.75" x14ac:dyDescent="0.5">
      <c r="A939" s="13" t="s">
        <v>295</v>
      </c>
      <c r="B939" s="13" t="s">
        <v>410</v>
      </c>
      <c r="C939" s="13" t="s">
        <v>400</v>
      </c>
      <c r="D939" s="14">
        <v>245.79356253202215</v>
      </c>
      <c r="E939" s="14">
        <v>244.69758350472227</v>
      </c>
      <c r="F939" s="14">
        <v>245.99758970348734</v>
      </c>
      <c r="G939" s="14">
        <v>246.16997594139102</v>
      </c>
      <c r="H939" s="14">
        <v>246.16997594139016</v>
      </c>
      <c r="I939" s="14">
        <v>246.16997594139102</v>
      </c>
      <c r="J939" s="14">
        <v>245.69526826898232</v>
      </c>
    </row>
    <row r="940" spans="1:10" ht="15.75" x14ac:dyDescent="0.5">
      <c r="A940" s="13" t="s">
        <v>295</v>
      </c>
      <c r="B940" s="13" t="s">
        <v>411</v>
      </c>
      <c r="C940" s="13" t="s">
        <v>400</v>
      </c>
      <c r="D940" s="14">
        <v>7.1394000000000171</v>
      </c>
      <c r="E940" s="14">
        <v>6.2121135766423503</v>
      </c>
      <c r="F940" s="14" t="s">
        <v>250</v>
      </c>
      <c r="G940" s="14" t="s">
        <v>250</v>
      </c>
      <c r="H940" s="14" t="s">
        <v>250</v>
      </c>
      <c r="I940" s="14" t="s">
        <v>250</v>
      </c>
      <c r="J940" s="14" t="s">
        <v>250</v>
      </c>
    </row>
    <row r="941" spans="1:10" ht="15.75" x14ac:dyDescent="0.5">
      <c r="A941" s="13" t="s">
        <v>295</v>
      </c>
      <c r="B941" s="13" t="s">
        <v>412</v>
      </c>
      <c r="C941" s="13" t="s">
        <v>400</v>
      </c>
      <c r="D941" s="14">
        <v>760.72545968400163</v>
      </c>
      <c r="E941" s="14">
        <v>748.68099769799073</v>
      </c>
      <c r="F941" s="14">
        <v>636.66831989639184</v>
      </c>
      <c r="G941" s="14">
        <v>679.3446921531588</v>
      </c>
      <c r="H941" s="14">
        <v>187.24597993889077</v>
      </c>
      <c r="I941" s="14">
        <v>4.8602933810043583</v>
      </c>
      <c r="J941" s="14">
        <v>6.0804592705323719</v>
      </c>
    </row>
    <row r="942" spans="1:10" ht="15.75" x14ac:dyDescent="0.5">
      <c r="A942" s="13" t="s">
        <v>295</v>
      </c>
      <c r="B942" s="13" t="s">
        <v>413</v>
      </c>
      <c r="C942" s="13" t="s">
        <v>400</v>
      </c>
      <c r="D942" s="14">
        <v>23.702927619886136</v>
      </c>
      <c r="E942" s="14">
        <v>19.698681850975444</v>
      </c>
      <c r="F942" s="14">
        <v>5.811344938209178</v>
      </c>
      <c r="G942" s="14">
        <v>3.1593412191593675</v>
      </c>
      <c r="H942" s="14">
        <v>1.6705466668014504</v>
      </c>
      <c r="I942" s="14">
        <v>1.1818942714341143</v>
      </c>
      <c r="J942" s="14">
        <v>1.2088774174744406</v>
      </c>
    </row>
    <row r="943" spans="1:10" ht="15.75" x14ac:dyDescent="0.5">
      <c r="A943" s="13" t="s">
        <v>295</v>
      </c>
      <c r="B943" s="13" t="s">
        <v>414</v>
      </c>
      <c r="C943" s="13" t="s">
        <v>400</v>
      </c>
      <c r="D943" s="14">
        <v>0.68039077051095009</v>
      </c>
      <c r="E943" s="14">
        <v>24.426397105307728</v>
      </c>
      <c r="F943" s="14">
        <v>100.49310086693549</v>
      </c>
      <c r="G943" s="14">
        <v>206.74884999005857</v>
      </c>
      <c r="H943" s="14">
        <v>253.18968756881262</v>
      </c>
      <c r="I943" s="14">
        <v>254.70875515139159</v>
      </c>
      <c r="J943" s="14">
        <v>255.88500750486784</v>
      </c>
    </row>
    <row r="944" spans="1:10" ht="15.75" x14ac:dyDescent="0.5">
      <c r="A944" s="13" t="s">
        <v>295</v>
      </c>
      <c r="B944" s="13" t="s">
        <v>415</v>
      </c>
      <c r="C944" s="13" t="s">
        <v>400</v>
      </c>
      <c r="D944" s="14">
        <v>440.53124483255561</v>
      </c>
      <c r="E944" s="14">
        <v>874.90671749093644</v>
      </c>
      <c r="F944" s="14">
        <v>1378.2929125405685</v>
      </c>
      <c r="G944" s="14">
        <v>1518.6027243176623</v>
      </c>
      <c r="H944" s="14">
        <v>2375.0172962422553</v>
      </c>
      <c r="I944" s="14">
        <v>3690.1732736436693</v>
      </c>
      <c r="J944" s="14">
        <v>3734.2144853533232</v>
      </c>
    </row>
    <row r="945" spans="1:10" ht="15.75" x14ac:dyDescent="0.5">
      <c r="A945" s="13" t="s">
        <v>295</v>
      </c>
      <c r="B945" s="13" t="s">
        <v>416</v>
      </c>
      <c r="C945" s="13" t="s">
        <v>400</v>
      </c>
      <c r="D945" s="14" t="s">
        <v>250</v>
      </c>
      <c r="E945" s="14">
        <v>70.934498682900738</v>
      </c>
      <c r="F945" s="14">
        <v>100.19546122793697</v>
      </c>
      <c r="G945" s="14">
        <v>127.69344447727376</v>
      </c>
      <c r="H945" s="14">
        <v>145.88323771792344</v>
      </c>
      <c r="I945" s="14">
        <v>165.77906731373233</v>
      </c>
      <c r="J945" s="14">
        <v>186.28657305490813</v>
      </c>
    </row>
    <row r="946" spans="1:10" ht="15.75" x14ac:dyDescent="0.5">
      <c r="A946" s="13" t="s">
        <v>295</v>
      </c>
      <c r="B946" s="13" t="s">
        <v>417</v>
      </c>
      <c r="C946" s="13" t="s">
        <v>400</v>
      </c>
      <c r="D946" s="14">
        <v>187.48709633408697</v>
      </c>
      <c r="E946" s="14">
        <v>298.30786724466145</v>
      </c>
      <c r="F946" s="14">
        <v>339.94935565504687</v>
      </c>
      <c r="G946" s="14">
        <v>1143.367548115998</v>
      </c>
      <c r="H946" s="14">
        <v>2848.2963987363619</v>
      </c>
      <c r="I946" s="14">
        <v>4165.2567163788917</v>
      </c>
      <c r="J946" s="14">
        <v>4305.0509111418414</v>
      </c>
    </row>
    <row r="947" spans="1:10" ht="15.75" x14ac:dyDescent="0.5">
      <c r="A947" s="13" t="s">
        <v>295</v>
      </c>
      <c r="B947" s="13" t="s">
        <v>418</v>
      </c>
      <c r="C947" s="13" t="s">
        <v>400</v>
      </c>
      <c r="D947" s="14">
        <v>3.1841751731019539</v>
      </c>
      <c r="E947" s="14">
        <v>3.184175173101953</v>
      </c>
      <c r="F947" s="14">
        <v>3.1841751731019525</v>
      </c>
      <c r="G947" s="14">
        <v>3.1841751731019534</v>
      </c>
      <c r="H947" s="14">
        <v>3.1841751731019534</v>
      </c>
      <c r="I947" s="14">
        <v>3.1841751731019539</v>
      </c>
      <c r="J947" s="14">
        <v>3.1841751731019534</v>
      </c>
    </row>
    <row r="948" spans="1:10" ht="15.75" x14ac:dyDescent="0.5">
      <c r="A948" s="13" t="s">
        <v>295</v>
      </c>
      <c r="B948" s="13" t="s">
        <v>419</v>
      </c>
      <c r="C948" s="13" t="s">
        <v>400</v>
      </c>
      <c r="D948" s="14">
        <v>0.54465920264079493</v>
      </c>
      <c r="E948" s="14">
        <v>9.6250003445979573</v>
      </c>
      <c r="F948" s="14">
        <v>88.245509496456862</v>
      </c>
      <c r="G948" s="14">
        <v>260.73184458779292</v>
      </c>
      <c r="H948" s="14">
        <v>1158.7984104703332</v>
      </c>
      <c r="I948" s="14">
        <v>2405.7471957753669</v>
      </c>
      <c r="J948" s="14">
        <v>2587.3042637081612</v>
      </c>
    </row>
    <row r="949" spans="1:10" ht="15.75" x14ac:dyDescent="0.5">
      <c r="A949" s="13" t="s">
        <v>295</v>
      </c>
      <c r="B949" s="13" t="s">
        <v>420</v>
      </c>
      <c r="C949" s="13" t="s">
        <v>400</v>
      </c>
      <c r="D949" s="14">
        <v>-13.987252957808423</v>
      </c>
      <c r="E949" s="14">
        <v>-13.653976075664614</v>
      </c>
      <c r="F949" s="14">
        <v>-13.654346309191851</v>
      </c>
      <c r="G949" s="14">
        <v>-11.816725431676769</v>
      </c>
      <c r="H949" s="14">
        <v>-13.786306332144779</v>
      </c>
      <c r="I949" s="14">
        <v>-17.295709817085211</v>
      </c>
      <c r="J949" s="14">
        <v>-20.999737071215115</v>
      </c>
    </row>
    <row r="950" spans="1:10" ht="15.75" x14ac:dyDescent="0.5">
      <c r="A950" s="13" t="s">
        <v>296</v>
      </c>
      <c r="B950" s="13" t="s">
        <v>399</v>
      </c>
      <c r="C950" s="13" t="s">
        <v>400</v>
      </c>
      <c r="D950" s="14">
        <v>7.2499064625597898</v>
      </c>
      <c r="E950" s="14">
        <v>4.2389343065693544E-2</v>
      </c>
      <c r="F950" s="14">
        <v>0.51246000000000114</v>
      </c>
      <c r="G950" s="14">
        <v>0.74757371165303033</v>
      </c>
      <c r="H950" s="14">
        <v>0.81161169782706655</v>
      </c>
      <c r="I950" s="14">
        <v>0.24511287591240921</v>
      </c>
      <c r="J950" s="14">
        <v>0.69616773722627867</v>
      </c>
    </row>
    <row r="951" spans="1:10" ht="15.75" x14ac:dyDescent="0.5">
      <c r="A951" s="13" t="s">
        <v>296</v>
      </c>
      <c r="B951" s="13" t="s">
        <v>401</v>
      </c>
      <c r="C951" s="13" t="s">
        <v>400</v>
      </c>
      <c r="D951" s="14" t="s">
        <v>250</v>
      </c>
      <c r="E951" s="14" t="s">
        <v>250</v>
      </c>
      <c r="F951" s="14">
        <v>100.06129342666962</v>
      </c>
      <c r="G951" s="14">
        <v>100.06129342666961</v>
      </c>
      <c r="H951" s="14">
        <v>2.6437275456862679</v>
      </c>
      <c r="I951" s="14" t="s">
        <v>250</v>
      </c>
      <c r="J951" s="14" t="s">
        <v>250</v>
      </c>
    </row>
    <row r="952" spans="1:10" ht="15.75" x14ac:dyDescent="0.5">
      <c r="A952" s="13" t="s">
        <v>296</v>
      </c>
      <c r="B952" s="13" t="s">
        <v>402</v>
      </c>
      <c r="C952" s="13" t="s">
        <v>400</v>
      </c>
      <c r="D952" s="14">
        <v>1072.9916742877465</v>
      </c>
      <c r="E952" s="14">
        <v>402.79340821001864</v>
      </c>
      <c r="F952" s="14">
        <v>204.20581137479701</v>
      </c>
      <c r="G952" s="14">
        <v>294.01062947234982</v>
      </c>
      <c r="H952" s="14">
        <v>182.68426861083609</v>
      </c>
      <c r="I952" s="14">
        <v>56.514063502338537</v>
      </c>
      <c r="J952" s="14">
        <v>53.235260349349311</v>
      </c>
    </row>
    <row r="953" spans="1:10" ht="15.75" x14ac:dyDescent="0.5">
      <c r="A953" s="13" t="s">
        <v>296</v>
      </c>
      <c r="B953" s="13" t="s">
        <v>403</v>
      </c>
      <c r="C953" s="13" t="s">
        <v>400</v>
      </c>
      <c r="D953" s="14" t="s">
        <v>250</v>
      </c>
      <c r="E953" s="14" t="s">
        <v>250</v>
      </c>
      <c r="F953" s="14">
        <v>25.835432958543635</v>
      </c>
      <c r="G953" s="14">
        <v>25.835432958543603</v>
      </c>
      <c r="H953" s="14">
        <v>5.2475183144689783</v>
      </c>
      <c r="I953" s="14">
        <v>2.2927248853211064</v>
      </c>
      <c r="J953" s="14" t="s">
        <v>250</v>
      </c>
    </row>
    <row r="954" spans="1:10" ht="15.75" x14ac:dyDescent="0.5">
      <c r="A954" s="13" t="s">
        <v>296</v>
      </c>
      <c r="B954" s="13" t="s">
        <v>421</v>
      </c>
      <c r="C954" s="13" t="s">
        <v>400</v>
      </c>
      <c r="D954" s="14" t="s">
        <v>250</v>
      </c>
      <c r="E954" s="14" t="s">
        <v>250</v>
      </c>
      <c r="F954" s="14" t="s">
        <v>250</v>
      </c>
      <c r="G954" s="14">
        <v>23.296216479325523</v>
      </c>
      <c r="H954" s="14">
        <v>61.828373569117076</v>
      </c>
      <c r="I954" s="14">
        <v>57.878279752972354</v>
      </c>
      <c r="J954" s="14">
        <v>9.9147344418747174</v>
      </c>
    </row>
    <row r="955" spans="1:10" ht="15.75" x14ac:dyDescent="0.5">
      <c r="A955" s="13" t="s">
        <v>296</v>
      </c>
      <c r="B955" s="13" t="s">
        <v>405</v>
      </c>
      <c r="C955" s="13" t="s">
        <v>400</v>
      </c>
      <c r="D955" s="14">
        <v>1259.3891290889951</v>
      </c>
      <c r="E955" s="14">
        <v>1309.3678799756458</v>
      </c>
      <c r="F955" s="14">
        <v>1367.1813020823695</v>
      </c>
      <c r="G955" s="14">
        <v>1172.6219381612364</v>
      </c>
      <c r="H955" s="14">
        <v>992.66024943615332</v>
      </c>
      <c r="I955" s="14">
        <v>613.04868635915636</v>
      </c>
      <c r="J955" s="14">
        <v>663.1029541880215</v>
      </c>
    </row>
    <row r="956" spans="1:10" ht="15.75" x14ac:dyDescent="0.5">
      <c r="A956" s="13" t="s">
        <v>296</v>
      </c>
      <c r="B956" s="13" t="s">
        <v>406</v>
      </c>
      <c r="C956" s="13" t="s">
        <v>400</v>
      </c>
      <c r="D956" s="14">
        <v>23.479196814299328</v>
      </c>
      <c r="E956" s="14">
        <v>23.277544632020504</v>
      </c>
      <c r="F956" s="14">
        <v>42.980191837898886</v>
      </c>
      <c r="G956" s="14">
        <v>40.801576593162039</v>
      </c>
      <c r="H956" s="14">
        <v>37.044923065428861</v>
      </c>
      <c r="I956" s="14">
        <v>33.394904421912535</v>
      </c>
      <c r="J956" s="14">
        <v>29.854489930560565</v>
      </c>
    </row>
    <row r="957" spans="1:10" ht="15.75" x14ac:dyDescent="0.5">
      <c r="A957" s="13" t="s">
        <v>296</v>
      </c>
      <c r="B957" s="13" t="s">
        <v>407</v>
      </c>
      <c r="C957" s="13" t="s">
        <v>400</v>
      </c>
      <c r="D957" s="14" t="s">
        <v>250</v>
      </c>
      <c r="E957" s="14">
        <v>143.1019494165723</v>
      </c>
      <c r="F957" s="14">
        <v>95.682538656368621</v>
      </c>
      <c r="G957" s="14">
        <v>135.78764188842601</v>
      </c>
      <c r="H957" s="14" t="s">
        <v>250</v>
      </c>
      <c r="I957" s="14" t="s">
        <v>250</v>
      </c>
      <c r="J957" s="14" t="s">
        <v>250</v>
      </c>
    </row>
    <row r="958" spans="1:10" ht="15.75" x14ac:dyDescent="0.5">
      <c r="A958" s="13" t="s">
        <v>296</v>
      </c>
      <c r="B958" s="13" t="s">
        <v>408</v>
      </c>
      <c r="C958" s="13" t="s">
        <v>400</v>
      </c>
      <c r="D958" s="14">
        <v>46.892290321001234</v>
      </c>
      <c r="E958" s="14">
        <v>35.016539483342633</v>
      </c>
      <c r="F958" s="14">
        <v>30.816954590168788</v>
      </c>
      <c r="G958" s="14">
        <v>43.868033686023772</v>
      </c>
      <c r="H958" s="14">
        <v>41.214347565534503</v>
      </c>
      <c r="I958" s="14">
        <v>30.808047017533408</v>
      </c>
      <c r="J958" s="14">
        <v>28.754753110053418</v>
      </c>
    </row>
    <row r="959" spans="1:10" ht="15.75" x14ac:dyDescent="0.5">
      <c r="A959" s="13" t="s">
        <v>296</v>
      </c>
      <c r="B959" s="13" t="s">
        <v>409</v>
      </c>
      <c r="C959" s="13" t="s">
        <v>400</v>
      </c>
      <c r="D959" s="14">
        <v>18.365704270000034</v>
      </c>
      <c r="E959" s="14">
        <v>18.365704270000034</v>
      </c>
      <c r="F959" s="14">
        <v>18.36570427000003</v>
      </c>
      <c r="G959" s="14">
        <v>18.365704270000037</v>
      </c>
      <c r="H959" s="14">
        <v>18.365704270000034</v>
      </c>
      <c r="I959" s="14">
        <v>17.852167224344974</v>
      </c>
      <c r="J959" s="14">
        <v>17.476765982392099</v>
      </c>
    </row>
    <row r="960" spans="1:10" ht="15.75" x14ac:dyDescent="0.5">
      <c r="A960" s="13" t="s">
        <v>296</v>
      </c>
      <c r="B960" s="13" t="s">
        <v>410</v>
      </c>
      <c r="C960" s="13" t="s">
        <v>400</v>
      </c>
      <c r="D960" s="14">
        <v>245.79356253202221</v>
      </c>
      <c r="E960" s="14">
        <v>244.69816294431374</v>
      </c>
      <c r="F960" s="14">
        <v>246.01316436698016</v>
      </c>
      <c r="G960" s="14">
        <v>246.16997594139102</v>
      </c>
      <c r="H960" s="14">
        <v>246.16997594139104</v>
      </c>
      <c r="I960" s="14">
        <v>246.16997594139099</v>
      </c>
      <c r="J960" s="14">
        <v>245.69526826898232</v>
      </c>
    </row>
    <row r="961" spans="1:10" ht="15.75" x14ac:dyDescent="0.5">
      <c r="A961" s="13" t="s">
        <v>296</v>
      </c>
      <c r="B961" s="13" t="s">
        <v>411</v>
      </c>
      <c r="C961" s="13" t="s">
        <v>400</v>
      </c>
      <c r="D961" s="14">
        <v>7.1394000000000162</v>
      </c>
      <c r="E961" s="14">
        <v>6.2121135766423503</v>
      </c>
      <c r="F961" s="14" t="s">
        <v>250</v>
      </c>
      <c r="G961" s="14" t="s">
        <v>250</v>
      </c>
      <c r="H961" s="14" t="s">
        <v>250</v>
      </c>
      <c r="I961" s="14" t="s">
        <v>250</v>
      </c>
      <c r="J961" s="14" t="s">
        <v>250</v>
      </c>
    </row>
    <row r="962" spans="1:10" ht="15.75" x14ac:dyDescent="0.5">
      <c r="A962" s="13" t="s">
        <v>296</v>
      </c>
      <c r="B962" s="13" t="s">
        <v>412</v>
      </c>
      <c r="C962" s="13" t="s">
        <v>400</v>
      </c>
      <c r="D962" s="14">
        <v>760.72545968400186</v>
      </c>
      <c r="E962" s="14">
        <v>748.68355506272519</v>
      </c>
      <c r="F962" s="14">
        <v>636.68468785444986</v>
      </c>
      <c r="G962" s="14">
        <v>679.43606662216143</v>
      </c>
      <c r="H962" s="14">
        <v>187.6158602593585</v>
      </c>
      <c r="I962" s="14">
        <v>4.8609446073262728</v>
      </c>
      <c r="J962" s="14">
        <v>17.549872487614877</v>
      </c>
    </row>
    <row r="963" spans="1:10" ht="15.75" x14ac:dyDescent="0.5">
      <c r="A963" s="13" t="s">
        <v>296</v>
      </c>
      <c r="B963" s="13" t="s">
        <v>413</v>
      </c>
      <c r="C963" s="13" t="s">
        <v>400</v>
      </c>
      <c r="D963" s="14">
        <v>23.70292761988614</v>
      </c>
      <c r="E963" s="14">
        <v>19.703217843088286</v>
      </c>
      <c r="F963" s="14">
        <v>5.8024380346127309</v>
      </c>
      <c r="G963" s="14">
        <v>3.1601440245962298</v>
      </c>
      <c r="H963" s="14">
        <v>1.6718643492955363</v>
      </c>
      <c r="I963" s="14">
        <v>1.1743662968327744</v>
      </c>
      <c r="J963" s="14">
        <v>1.2043464532024242</v>
      </c>
    </row>
    <row r="964" spans="1:10" ht="15.75" x14ac:dyDescent="0.5">
      <c r="A964" s="13" t="s">
        <v>296</v>
      </c>
      <c r="B964" s="13" t="s">
        <v>414</v>
      </c>
      <c r="C964" s="13" t="s">
        <v>400</v>
      </c>
      <c r="D964" s="14">
        <v>0.6803907705109502</v>
      </c>
      <c r="E964" s="14">
        <v>24.426397105307728</v>
      </c>
      <c r="F964" s="14">
        <v>100.49310086693548</v>
      </c>
      <c r="G964" s="14">
        <v>206.74884999005863</v>
      </c>
      <c r="H964" s="14">
        <v>253.18968756881262</v>
      </c>
      <c r="I964" s="14">
        <v>254.70875515139161</v>
      </c>
      <c r="J964" s="14">
        <v>255.8850075048679</v>
      </c>
    </row>
    <row r="965" spans="1:10" ht="15.75" x14ac:dyDescent="0.5">
      <c r="A965" s="13" t="s">
        <v>296</v>
      </c>
      <c r="B965" s="13" t="s">
        <v>415</v>
      </c>
      <c r="C965" s="13" t="s">
        <v>400</v>
      </c>
      <c r="D965" s="14">
        <v>440.53124483255556</v>
      </c>
      <c r="E965" s="14">
        <v>874.90671788693828</v>
      </c>
      <c r="F965" s="14">
        <v>1378.2110581197981</v>
      </c>
      <c r="G965" s="14">
        <v>1518.5323954171422</v>
      </c>
      <c r="H965" s="14">
        <v>2375.7171392700066</v>
      </c>
      <c r="I965" s="14">
        <v>3692.7226179118225</v>
      </c>
      <c r="J965" s="14">
        <v>3738.4182019741879</v>
      </c>
    </row>
    <row r="966" spans="1:10" ht="15.75" x14ac:dyDescent="0.5">
      <c r="A966" s="13" t="s">
        <v>296</v>
      </c>
      <c r="B966" s="13" t="s">
        <v>416</v>
      </c>
      <c r="C966" s="13" t="s">
        <v>400</v>
      </c>
      <c r="D966" s="14" t="s">
        <v>250</v>
      </c>
      <c r="E966" s="14">
        <v>70.934498682900738</v>
      </c>
      <c r="F966" s="14">
        <v>100.19546122793703</v>
      </c>
      <c r="G966" s="14">
        <v>127.69344447727366</v>
      </c>
      <c r="H966" s="14">
        <v>145.88323771792346</v>
      </c>
      <c r="I966" s="14">
        <v>165.77906731373221</v>
      </c>
      <c r="J966" s="14">
        <v>186.28657305490808</v>
      </c>
    </row>
    <row r="967" spans="1:10" ht="15.75" x14ac:dyDescent="0.5">
      <c r="A967" s="13" t="s">
        <v>296</v>
      </c>
      <c r="B967" s="13" t="s">
        <v>417</v>
      </c>
      <c r="C967" s="13" t="s">
        <v>400</v>
      </c>
      <c r="D967" s="14">
        <v>187.48709633408683</v>
      </c>
      <c r="E967" s="14">
        <v>298.30786724466145</v>
      </c>
      <c r="F967" s="14">
        <v>339.94935565504693</v>
      </c>
      <c r="G967" s="14">
        <v>1143.8698648541508</v>
      </c>
      <c r="H967" s="14">
        <v>2847.7687451630177</v>
      </c>
      <c r="I967" s="14">
        <v>4155.5807052348737</v>
      </c>
      <c r="J967" s="14">
        <v>4293.2610021837818</v>
      </c>
    </row>
    <row r="968" spans="1:10" ht="15.75" x14ac:dyDescent="0.5">
      <c r="A968" s="13" t="s">
        <v>296</v>
      </c>
      <c r="B968" s="13" t="s">
        <v>418</v>
      </c>
      <c r="C968" s="13" t="s">
        <v>400</v>
      </c>
      <c r="D968" s="14">
        <v>3.1841751731019534</v>
      </c>
      <c r="E968" s="14">
        <v>3.1841751731019534</v>
      </c>
      <c r="F968" s="14">
        <v>3.184175173101953</v>
      </c>
      <c r="G968" s="14">
        <v>3.1841751731019534</v>
      </c>
      <c r="H968" s="14">
        <v>3.1841751731019539</v>
      </c>
      <c r="I968" s="14">
        <v>3.184175173101953</v>
      </c>
      <c r="J968" s="14">
        <v>3.1841751731019534</v>
      </c>
    </row>
    <row r="969" spans="1:10" ht="15.75" x14ac:dyDescent="0.5">
      <c r="A969" s="13" t="s">
        <v>296</v>
      </c>
      <c r="B969" s="13" t="s">
        <v>419</v>
      </c>
      <c r="C969" s="13" t="s">
        <v>400</v>
      </c>
      <c r="D969" s="14">
        <v>0.54465920264079504</v>
      </c>
      <c r="E969" s="14">
        <v>9.6199299785734524</v>
      </c>
      <c r="F969" s="14">
        <v>88.371865626180593</v>
      </c>
      <c r="G969" s="14">
        <v>260.75703988285193</v>
      </c>
      <c r="H969" s="14">
        <v>1158.673237133562</v>
      </c>
      <c r="I969" s="14">
        <v>2402.0566840615224</v>
      </c>
      <c r="J969" s="14">
        <v>2585.4702073496992</v>
      </c>
    </row>
    <row r="970" spans="1:10" ht="15.75" x14ac:dyDescent="0.5">
      <c r="A970" s="13" t="s">
        <v>296</v>
      </c>
      <c r="B970" s="13" t="s">
        <v>420</v>
      </c>
      <c r="C970" s="13" t="s">
        <v>400</v>
      </c>
      <c r="D970" s="14">
        <v>-13.987252957808321</v>
      </c>
      <c r="E970" s="14">
        <v>-13.652765229638483</v>
      </c>
      <c r="F970" s="14">
        <v>-13.653287035833904</v>
      </c>
      <c r="G970" s="14">
        <v>-11.807653640431287</v>
      </c>
      <c r="H970" s="14">
        <v>-13.754109643393594</v>
      </c>
      <c r="I970" s="14">
        <v>-17.321404251195467</v>
      </c>
      <c r="J970" s="14">
        <v>-21.080925046591069</v>
      </c>
    </row>
    <row r="971" spans="1:10" ht="15.75" x14ac:dyDescent="0.5">
      <c r="A971" s="13" t="s">
        <v>297</v>
      </c>
      <c r="B971" s="13" t="s">
        <v>399</v>
      </c>
      <c r="C971" s="13" t="s">
        <v>400</v>
      </c>
      <c r="D971" s="14">
        <v>7.2499064625597889</v>
      </c>
      <c r="E971" s="14">
        <v>4.2389343065693544E-2</v>
      </c>
      <c r="F971" s="14">
        <v>0.51246000000000103</v>
      </c>
      <c r="G971" s="14">
        <v>1.0322274464058645</v>
      </c>
      <c r="H971" s="14">
        <v>0.8741723732994765</v>
      </c>
      <c r="I971" s="14">
        <v>0.19087112408759169</v>
      </c>
      <c r="J971" s="14">
        <v>2.120681167883216</v>
      </c>
    </row>
    <row r="972" spans="1:10" ht="15.75" x14ac:dyDescent="0.5">
      <c r="A972" s="13" t="s">
        <v>297</v>
      </c>
      <c r="B972" s="13" t="s">
        <v>401</v>
      </c>
      <c r="C972" s="13" t="s">
        <v>400</v>
      </c>
      <c r="D972" s="14" t="s">
        <v>250</v>
      </c>
      <c r="E972" s="14" t="s">
        <v>250</v>
      </c>
      <c r="F972" s="14">
        <v>138.26515886665231</v>
      </c>
      <c r="G972" s="14">
        <v>138.26515886665234</v>
      </c>
      <c r="H972" s="14">
        <v>5.3645022216309979</v>
      </c>
      <c r="I972" s="14" t="s">
        <v>250</v>
      </c>
      <c r="J972" s="14" t="s">
        <v>250</v>
      </c>
    </row>
    <row r="973" spans="1:10" ht="15.75" x14ac:dyDescent="0.5">
      <c r="A973" s="13" t="s">
        <v>297</v>
      </c>
      <c r="B973" s="13" t="s">
        <v>402</v>
      </c>
      <c r="C973" s="13" t="s">
        <v>400</v>
      </c>
      <c r="D973" s="14">
        <v>1072.9916742877463</v>
      </c>
      <c r="E973" s="14">
        <v>403.50746805862951</v>
      </c>
      <c r="F973" s="14">
        <v>167.83820254581684</v>
      </c>
      <c r="G973" s="14">
        <v>160.43071525427797</v>
      </c>
      <c r="H973" s="14">
        <v>92.074665481270159</v>
      </c>
      <c r="I973" s="14">
        <v>33.443163658675715</v>
      </c>
      <c r="J973" s="14" t="s">
        <v>250</v>
      </c>
    </row>
    <row r="974" spans="1:10" ht="15.75" x14ac:dyDescent="0.5">
      <c r="A974" s="13" t="s">
        <v>297</v>
      </c>
      <c r="B974" s="13" t="s">
        <v>403</v>
      </c>
      <c r="C974" s="13" t="s">
        <v>400</v>
      </c>
      <c r="D974" s="14" t="s">
        <v>250</v>
      </c>
      <c r="E974" s="14" t="s">
        <v>250</v>
      </c>
      <c r="F974" s="14">
        <v>44.775681462453285</v>
      </c>
      <c r="G974" s="14">
        <v>44.775681462453285</v>
      </c>
      <c r="H974" s="14">
        <v>10.084461235397228</v>
      </c>
      <c r="I974" s="14">
        <v>4.6679850000000096</v>
      </c>
      <c r="J974" s="14" t="s">
        <v>250</v>
      </c>
    </row>
    <row r="975" spans="1:10" ht="15.75" x14ac:dyDescent="0.5">
      <c r="A975" s="13" t="s">
        <v>297</v>
      </c>
      <c r="B975" s="13" t="s">
        <v>405</v>
      </c>
      <c r="C975" s="13" t="s">
        <v>400</v>
      </c>
      <c r="D975" s="14">
        <v>1259.3891290889949</v>
      </c>
      <c r="E975" s="14">
        <v>1303.5006570057849</v>
      </c>
      <c r="F975" s="14">
        <v>1319.676152467521</v>
      </c>
      <c r="G975" s="14">
        <v>1145.4478176434036</v>
      </c>
      <c r="H975" s="14">
        <v>953.42147222560175</v>
      </c>
      <c r="I975" s="14">
        <v>487.61201122315947</v>
      </c>
      <c r="J975" s="14">
        <v>322.95970144302589</v>
      </c>
    </row>
    <row r="976" spans="1:10" ht="15.75" x14ac:dyDescent="0.5">
      <c r="A976" s="13" t="s">
        <v>297</v>
      </c>
      <c r="B976" s="13" t="s">
        <v>406</v>
      </c>
      <c r="C976" s="13" t="s">
        <v>400</v>
      </c>
      <c r="D976" s="14">
        <v>23.479196814299335</v>
      </c>
      <c r="E976" s="14">
        <v>22.480908249719135</v>
      </c>
      <c r="F976" s="14">
        <v>42.666612525145858</v>
      </c>
      <c r="G976" s="14">
        <v>40.868868026350285</v>
      </c>
      <c r="H976" s="14">
        <v>37.341489735475712</v>
      </c>
      <c r="I976" s="14">
        <v>31.013933642049533</v>
      </c>
      <c r="J976" s="14">
        <v>21.710894724618907</v>
      </c>
    </row>
    <row r="977" spans="1:10" ht="15.75" x14ac:dyDescent="0.5">
      <c r="A977" s="13" t="s">
        <v>297</v>
      </c>
      <c r="B977" s="13" t="s">
        <v>407</v>
      </c>
      <c r="C977" s="13" t="s">
        <v>400</v>
      </c>
      <c r="D977" s="14" t="s">
        <v>250</v>
      </c>
      <c r="E977" s="14">
        <v>148.76653764252916</v>
      </c>
      <c r="F977" s="14">
        <v>104.43601754370877</v>
      </c>
      <c r="G977" s="14">
        <v>159.1065405332576</v>
      </c>
      <c r="H977" s="14" t="s">
        <v>250</v>
      </c>
      <c r="I977" s="14" t="s">
        <v>250</v>
      </c>
      <c r="J977" s="14" t="s">
        <v>250</v>
      </c>
    </row>
    <row r="978" spans="1:10" ht="15.75" x14ac:dyDescent="0.5">
      <c r="A978" s="13" t="s">
        <v>297</v>
      </c>
      <c r="B978" s="13" t="s">
        <v>408</v>
      </c>
      <c r="C978" s="13" t="s">
        <v>400</v>
      </c>
      <c r="D978" s="14">
        <v>46.892290321001219</v>
      </c>
      <c r="E978" s="14">
        <v>34.952036799721512</v>
      </c>
      <c r="F978" s="14">
        <v>30.225485485044459</v>
      </c>
      <c r="G978" s="14">
        <v>46.129002517990436</v>
      </c>
      <c r="H978" s="14">
        <v>41.812011167876989</v>
      </c>
      <c r="I978" s="14">
        <v>29.594416921516586</v>
      </c>
      <c r="J978" s="14">
        <v>28.672204729927063</v>
      </c>
    </row>
    <row r="979" spans="1:10" ht="15.75" x14ac:dyDescent="0.5">
      <c r="A979" s="13" t="s">
        <v>297</v>
      </c>
      <c r="B979" s="13" t="s">
        <v>409</v>
      </c>
      <c r="C979" s="13" t="s">
        <v>400</v>
      </c>
      <c r="D979" s="14">
        <v>18.365704270000037</v>
      </c>
      <c r="E979" s="14">
        <v>18.36570427000003</v>
      </c>
      <c r="F979" s="14">
        <v>18.365704270000037</v>
      </c>
      <c r="G979" s="14">
        <v>18.365704270000037</v>
      </c>
      <c r="H979" s="14">
        <v>18.365704270000034</v>
      </c>
      <c r="I979" s="14">
        <v>17.883403315571929</v>
      </c>
      <c r="J979" s="14">
        <v>17.125879638017949</v>
      </c>
    </row>
    <row r="980" spans="1:10" ht="15.75" x14ac:dyDescent="0.5">
      <c r="A980" s="13" t="s">
        <v>297</v>
      </c>
      <c r="B980" s="13" t="s">
        <v>410</v>
      </c>
      <c r="C980" s="13" t="s">
        <v>400</v>
      </c>
      <c r="D980" s="14">
        <v>245.79356253202215</v>
      </c>
      <c r="E980" s="14">
        <v>244.67715967075972</v>
      </c>
      <c r="F980" s="14">
        <v>246.14648567844216</v>
      </c>
      <c r="G980" s="14">
        <v>246.16997594139207</v>
      </c>
      <c r="H980" s="14">
        <v>246.16997594139173</v>
      </c>
      <c r="I980" s="14">
        <v>246.1532691489823</v>
      </c>
      <c r="J980" s="14">
        <v>245.67038096971365</v>
      </c>
    </row>
    <row r="981" spans="1:10" ht="15.75" x14ac:dyDescent="0.5">
      <c r="A981" s="13" t="s">
        <v>297</v>
      </c>
      <c r="B981" s="13" t="s">
        <v>411</v>
      </c>
      <c r="C981" s="13" t="s">
        <v>400</v>
      </c>
      <c r="D981" s="14">
        <v>7.1394000000000171</v>
      </c>
      <c r="E981" s="14">
        <v>6.1142096714967034</v>
      </c>
      <c r="F981" s="14" t="s">
        <v>250</v>
      </c>
      <c r="G981" s="14" t="s">
        <v>250</v>
      </c>
      <c r="H981" s="14" t="s">
        <v>250</v>
      </c>
      <c r="I981" s="14" t="s">
        <v>250</v>
      </c>
      <c r="J981" s="14" t="s">
        <v>250</v>
      </c>
    </row>
    <row r="982" spans="1:10" ht="15.75" x14ac:dyDescent="0.5">
      <c r="A982" s="13" t="s">
        <v>297</v>
      </c>
      <c r="B982" s="13" t="s">
        <v>412</v>
      </c>
      <c r="C982" s="13" t="s">
        <v>400</v>
      </c>
      <c r="D982" s="14">
        <v>760.72545968400186</v>
      </c>
      <c r="E982" s="14">
        <v>749.76010127837469</v>
      </c>
      <c r="F982" s="14">
        <v>633.49755860010509</v>
      </c>
      <c r="G982" s="14">
        <v>679.44749347161269</v>
      </c>
      <c r="H982" s="14">
        <v>249.57311319204112</v>
      </c>
      <c r="I982" s="14">
        <v>27.653181137713748</v>
      </c>
      <c r="J982" s="14">
        <v>44.98883766315285</v>
      </c>
    </row>
    <row r="983" spans="1:10" ht="15.75" x14ac:dyDescent="0.5">
      <c r="A983" s="13" t="s">
        <v>297</v>
      </c>
      <c r="B983" s="13" t="s">
        <v>413</v>
      </c>
      <c r="C983" s="13" t="s">
        <v>400</v>
      </c>
      <c r="D983" s="14">
        <v>23.70292761988614</v>
      </c>
      <c r="E983" s="14">
        <v>19.852433096731215</v>
      </c>
      <c r="F983" s="14">
        <v>5.7651957024372251</v>
      </c>
      <c r="G983" s="14">
        <v>3.2423325733649415</v>
      </c>
      <c r="H983" s="14">
        <v>1.9102065970072435</v>
      </c>
      <c r="I983" s="14">
        <v>0.96777269409705013</v>
      </c>
      <c r="J983" s="14">
        <v>0.54896767883211761</v>
      </c>
    </row>
    <row r="984" spans="1:10" ht="15.75" x14ac:dyDescent="0.5">
      <c r="A984" s="13" t="s">
        <v>297</v>
      </c>
      <c r="B984" s="13" t="s">
        <v>414</v>
      </c>
      <c r="C984" s="13" t="s">
        <v>400</v>
      </c>
      <c r="D984" s="14">
        <v>0.6803907705109502</v>
      </c>
      <c r="E984" s="14">
        <v>24.410644358788311</v>
      </c>
      <c r="F984" s="14">
        <v>100.47158524715577</v>
      </c>
      <c r="G984" s="14">
        <v>206.81301068945797</v>
      </c>
      <c r="H984" s="14">
        <v>253.25828316673525</v>
      </c>
      <c r="I984" s="14">
        <v>254.77780442390363</v>
      </c>
      <c r="J984" s="14">
        <v>255.95440675492037</v>
      </c>
    </row>
    <row r="985" spans="1:10" ht="15.75" x14ac:dyDescent="0.5">
      <c r="A985" s="13" t="s">
        <v>297</v>
      </c>
      <c r="B985" s="13" t="s">
        <v>415</v>
      </c>
      <c r="C985" s="13" t="s">
        <v>400</v>
      </c>
      <c r="D985" s="14">
        <v>440.53124483255544</v>
      </c>
      <c r="E985" s="14">
        <v>874.72938291532159</v>
      </c>
      <c r="F985" s="14">
        <v>1401.238926620176</v>
      </c>
      <c r="G985" s="14">
        <v>1603.2034772639593</v>
      </c>
      <c r="H985" s="14">
        <v>2478.731357916653</v>
      </c>
      <c r="I985" s="14">
        <v>3857.7885187845486</v>
      </c>
      <c r="J985" s="14">
        <v>4059.7918830061303</v>
      </c>
    </row>
    <row r="986" spans="1:10" ht="15.75" x14ac:dyDescent="0.5">
      <c r="A986" s="13" t="s">
        <v>297</v>
      </c>
      <c r="B986" s="13" t="s">
        <v>416</v>
      </c>
      <c r="C986" s="13" t="s">
        <v>400</v>
      </c>
      <c r="D986" s="14" t="s">
        <v>250</v>
      </c>
      <c r="E986" s="14">
        <v>70.934498682900752</v>
      </c>
      <c r="F986" s="14">
        <v>100.19546122793697</v>
      </c>
      <c r="G986" s="14">
        <v>127.69344447727376</v>
      </c>
      <c r="H986" s="14">
        <v>145.88323771792346</v>
      </c>
      <c r="I986" s="14">
        <v>165.77906731373218</v>
      </c>
      <c r="J986" s="14">
        <v>186.28657305490813</v>
      </c>
    </row>
    <row r="987" spans="1:10" ht="15.75" x14ac:dyDescent="0.5">
      <c r="A987" s="13" t="s">
        <v>297</v>
      </c>
      <c r="B987" s="13" t="s">
        <v>417</v>
      </c>
      <c r="C987" s="13" t="s">
        <v>400</v>
      </c>
      <c r="D987" s="14">
        <v>187.48709633408703</v>
      </c>
      <c r="E987" s="14">
        <v>298.28037875945978</v>
      </c>
      <c r="F987" s="14">
        <v>339.94935565504699</v>
      </c>
      <c r="G987" s="14">
        <v>1164.9282848334374</v>
      </c>
      <c r="H987" s="14">
        <v>2878.2997290177691</v>
      </c>
      <c r="I987" s="14">
        <v>4493.6218380758864</v>
      </c>
      <c r="J987" s="14">
        <v>4704.6664883328667</v>
      </c>
    </row>
    <row r="988" spans="1:10" ht="15.75" x14ac:dyDescent="0.5">
      <c r="A988" s="13" t="s">
        <v>297</v>
      </c>
      <c r="B988" s="13" t="s">
        <v>418</v>
      </c>
      <c r="C988" s="13" t="s">
        <v>400</v>
      </c>
      <c r="D988" s="14">
        <v>3.1841751731019539</v>
      </c>
      <c r="E988" s="14">
        <v>3.1841751731019534</v>
      </c>
      <c r="F988" s="14">
        <v>3.1841751731019534</v>
      </c>
      <c r="G988" s="14">
        <v>3.184175173101953</v>
      </c>
      <c r="H988" s="14">
        <v>3.184175173101953</v>
      </c>
      <c r="I988" s="14">
        <v>3.1841751731019534</v>
      </c>
      <c r="J988" s="14">
        <v>3.1841751731019534</v>
      </c>
    </row>
    <row r="989" spans="1:10" ht="15.75" x14ac:dyDescent="0.5">
      <c r="A989" s="13" t="s">
        <v>297</v>
      </c>
      <c r="B989" s="13" t="s">
        <v>419</v>
      </c>
      <c r="C989" s="13" t="s">
        <v>400</v>
      </c>
      <c r="D989" s="14">
        <v>0.54465920264079504</v>
      </c>
      <c r="E989" s="14">
        <v>10.99426972672693</v>
      </c>
      <c r="F989" s="14">
        <v>93.697352573815294</v>
      </c>
      <c r="G989" s="14">
        <v>295.15521202982478</v>
      </c>
      <c r="H989" s="14">
        <v>1291.3273169082665</v>
      </c>
      <c r="I989" s="14">
        <v>2785.5296474667402</v>
      </c>
      <c r="J989" s="14">
        <v>3303.2672344343046</v>
      </c>
    </row>
    <row r="990" spans="1:10" ht="15.75" x14ac:dyDescent="0.5">
      <c r="A990" s="13" t="s">
        <v>297</v>
      </c>
      <c r="B990" s="13" t="s">
        <v>420</v>
      </c>
      <c r="C990" s="13" t="s">
        <v>400</v>
      </c>
      <c r="D990" s="14">
        <v>-13.987252957808378</v>
      </c>
      <c r="E990" s="14">
        <v>-13.706788239146787</v>
      </c>
      <c r="F990" s="14">
        <v>-14.048417666021635</v>
      </c>
      <c r="G990" s="14">
        <v>-11.755166528005699</v>
      </c>
      <c r="H990" s="14">
        <v>-13.716858402541401</v>
      </c>
      <c r="I990" s="14">
        <v>-17.667592056109889</v>
      </c>
      <c r="J990" s="14">
        <v>-22.856363378423641</v>
      </c>
    </row>
    <row r="991" spans="1:10" ht="15.75" x14ac:dyDescent="0.5">
      <c r="A991" s="13" t="s">
        <v>298</v>
      </c>
      <c r="B991" s="13" t="s">
        <v>399</v>
      </c>
      <c r="C991" s="13" t="s">
        <v>400</v>
      </c>
      <c r="D991" s="14">
        <v>7.249906462559788</v>
      </c>
      <c r="E991" s="14">
        <v>4.2389343065693544E-2</v>
      </c>
      <c r="F991" s="14">
        <v>0.51246000000000103</v>
      </c>
      <c r="G991" s="14">
        <v>1.0322274464058645</v>
      </c>
      <c r="H991" s="14">
        <v>0.87417237329947661</v>
      </c>
      <c r="I991" s="14">
        <v>0.19087112408759169</v>
      </c>
      <c r="J991" s="14">
        <v>2.1206811678832156</v>
      </c>
    </row>
    <row r="992" spans="1:10" ht="15.75" x14ac:dyDescent="0.5">
      <c r="A992" s="13" t="s">
        <v>298</v>
      </c>
      <c r="B992" s="13" t="s">
        <v>401</v>
      </c>
      <c r="C992" s="13" t="s">
        <v>400</v>
      </c>
      <c r="D992" s="14" t="s">
        <v>250</v>
      </c>
      <c r="E992" s="14" t="s">
        <v>250</v>
      </c>
      <c r="F992" s="14">
        <v>138.26515693058323</v>
      </c>
      <c r="G992" s="14">
        <v>138.26515693058317</v>
      </c>
      <c r="H992" s="14">
        <v>5.3645019742753508</v>
      </c>
      <c r="I992" s="14" t="s">
        <v>250</v>
      </c>
      <c r="J992" s="14" t="s">
        <v>250</v>
      </c>
    </row>
    <row r="993" spans="1:10" ht="15.75" x14ac:dyDescent="0.5">
      <c r="A993" s="13" t="s">
        <v>298</v>
      </c>
      <c r="B993" s="13" t="s">
        <v>402</v>
      </c>
      <c r="C993" s="13" t="s">
        <v>400</v>
      </c>
      <c r="D993" s="14">
        <v>1072.9916742877469</v>
      </c>
      <c r="E993" s="14">
        <v>403.50746927831597</v>
      </c>
      <c r="F993" s="14">
        <v>167.8382029403821</v>
      </c>
      <c r="G993" s="14">
        <v>160.43071423412795</v>
      </c>
      <c r="H993" s="14">
        <v>92.074665771660079</v>
      </c>
      <c r="I993" s="14">
        <v>33.443163569610512</v>
      </c>
      <c r="J993" s="14" t="s">
        <v>250</v>
      </c>
    </row>
    <row r="994" spans="1:10" ht="15.75" x14ac:dyDescent="0.5">
      <c r="A994" s="13" t="s">
        <v>298</v>
      </c>
      <c r="B994" s="13" t="s">
        <v>403</v>
      </c>
      <c r="C994" s="13" t="s">
        <v>400</v>
      </c>
      <c r="D994" s="14" t="s">
        <v>250</v>
      </c>
      <c r="E994" s="14" t="s">
        <v>250</v>
      </c>
      <c r="F994" s="14">
        <v>44.775681462453313</v>
      </c>
      <c r="G994" s="14">
        <v>44.775681462453335</v>
      </c>
      <c r="H994" s="14">
        <v>10.08446122529935</v>
      </c>
      <c r="I994" s="14">
        <v>4.6679850000000105</v>
      </c>
      <c r="J994" s="14" t="s">
        <v>250</v>
      </c>
    </row>
    <row r="995" spans="1:10" ht="15.75" x14ac:dyDescent="0.5">
      <c r="A995" s="13" t="s">
        <v>298</v>
      </c>
      <c r="B995" s="13" t="s">
        <v>405</v>
      </c>
      <c r="C995" s="13" t="s">
        <v>400</v>
      </c>
      <c r="D995" s="14">
        <v>1259.3891290889953</v>
      </c>
      <c r="E995" s="14">
        <v>1303.5006564217874</v>
      </c>
      <c r="F995" s="14">
        <v>1319.6761569138166</v>
      </c>
      <c r="G995" s="14">
        <v>1145.4478216522014</v>
      </c>
      <c r="H995" s="14">
        <v>953.42147284590544</v>
      </c>
      <c r="I995" s="14">
        <v>487.61201053741433</v>
      </c>
      <c r="J995" s="14">
        <v>322.95970171808113</v>
      </c>
    </row>
    <row r="996" spans="1:10" ht="15.75" x14ac:dyDescent="0.5">
      <c r="A996" s="13" t="s">
        <v>298</v>
      </c>
      <c r="B996" s="13" t="s">
        <v>406</v>
      </c>
      <c r="C996" s="13" t="s">
        <v>400</v>
      </c>
      <c r="D996" s="14">
        <v>23.479196814299328</v>
      </c>
      <c r="E996" s="14">
        <v>22.480908111104078</v>
      </c>
      <c r="F996" s="14">
        <v>42.666612544109682</v>
      </c>
      <c r="G996" s="14">
        <v>40.868867840383729</v>
      </c>
      <c r="H996" s="14">
        <v>37.341489594246568</v>
      </c>
      <c r="I996" s="14">
        <v>31.013933158951431</v>
      </c>
      <c r="J996" s="14">
        <v>21.71089458716952</v>
      </c>
    </row>
    <row r="997" spans="1:10" ht="15.75" x14ac:dyDescent="0.5">
      <c r="A997" s="13" t="s">
        <v>298</v>
      </c>
      <c r="B997" s="13" t="s">
        <v>407</v>
      </c>
      <c r="C997" s="13" t="s">
        <v>400</v>
      </c>
      <c r="D997" s="14" t="s">
        <v>250</v>
      </c>
      <c r="E997" s="14">
        <v>148.76653749586265</v>
      </c>
      <c r="F997" s="14">
        <v>104.43601531260204</v>
      </c>
      <c r="G997" s="14">
        <v>159.10653860934741</v>
      </c>
      <c r="H997" s="14" t="s">
        <v>250</v>
      </c>
      <c r="I997" s="14" t="s">
        <v>250</v>
      </c>
      <c r="J997" s="14" t="s">
        <v>250</v>
      </c>
    </row>
    <row r="998" spans="1:10" ht="15.75" x14ac:dyDescent="0.5">
      <c r="A998" s="13" t="s">
        <v>298</v>
      </c>
      <c r="B998" s="13" t="s">
        <v>408</v>
      </c>
      <c r="C998" s="13" t="s">
        <v>400</v>
      </c>
      <c r="D998" s="14">
        <v>46.892290321001227</v>
      </c>
      <c r="E998" s="14">
        <v>34.952036837199358</v>
      </c>
      <c r="F998" s="14">
        <v>30.225485709171462</v>
      </c>
      <c r="G998" s="14">
        <v>46.129002999663932</v>
      </c>
      <c r="H998" s="14">
        <v>41.812011209074008</v>
      </c>
      <c r="I998" s="14">
        <v>29.59441692151611</v>
      </c>
      <c r="J998" s="14">
        <v>28.672204729927063</v>
      </c>
    </row>
    <row r="999" spans="1:10" ht="15.75" x14ac:dyDescent="0.5">
      <c r="A999" s="13" t="s">
        <v>298</v>
      </c>
      <c r="B999" s="13" t="s">
        <v>409</v>
      </c>
      <c r="C999" s="13" t="s">
        <v>400</v>
      </c>
      <c r="D999" s="14">
        <v>18.365704270000037</v>
      </c>
      <c r="E999" s="14">
        <v>18.365704270000034</v>
      </c>
      <c r="F999" s="14">
        <v>18.365704270000037</v>
      </c>
      <c r="G999" s="14">
        <v>18.365704270000034</v>
      </c>
      <c r="H999" s="14">
        <v>18.36570427000003</v>
      </c>
      <c r="I999" s="14">
        <v>17.883403373626344</v>
      </c>
      <c r="J999" s="14">
        <v>17.125879628069548</v>
      </c>
    </row>
    <row r="1000" spans="1:10" ht="15.75" x14ac:dyDescent="0.5">
      <c r="A1000" s="13" t="s">
        <v>298</v>
      </c>
      <c r="B1000" s="13" t="s">
        <v>410</v>
      </c>
      <c r="C1000" s="13" t="s">
        <v>400</v>
      </c>
      <c r="D1000" s="14">
        <v>245.79356253202207</v>
      </c>
      <c r="E1000" s="14">
        <v>244.67715967035463</v>
      </c>
      <c r="F1000" s="14">
        <v>246.14648567844216</v>
      </c>
      <c r="G1000" s="14">
        <v>246.16997594139454</v>
      </c>
      <c r="H1000" s="14">
        <v>246.16997594139201</v>
      </c>
      <c r="I1000" s="14">
        <v>246.15326914898222</v>
      </c>
      <c r="J1000" s="14">
        <v>245.67038096971226</v>
      </c>
    </row>
    <row r="1001" spans="1:10" ht="15.75" x14ac:dyDescent="0.5">
      <c r="A1001" s="13" t="s">
        <v>298</v>
      </c>
      <c r="B1001" s="13" t="s">
        <v>411</v>
      </c>
      <c r="C1001" s="13" t="s">
        <v>400</v>
      </c>
      <c r="D1001" s="14">
        <v>7.1394000000000144</v>
      </c>
      <c r="E1001" s="14">
        <v>6.1142094589961244</v>
      </c>
      <c r="F1001" s="14" t="s">
        <v>250</v>
      </c>
      <c r="G1001" s="14" t="s">
        <v>250</v>
      </c>
      <c r="H1001" s="14" t="s">
        <v>250</v>
      </c>
      <c r="I1001" s="14" t="s">
        <v>250</v>
      </c>
      <c r="J1001" s="14" t="s">
        <v>250</v>
      </c>
    </row>
    <row r="1002" spans="1:10" ht="15.75" x14ac:dyDescent="0.5">
      <c r="A1002" s="13" t="s">
        <v>298</v>
      </c>
      <c r="B1002" s="13" t="s">
        <v>412</v>
      </c>
      <c r="C1002" s="13" t="s">
        <v>400</v>
      </c>
      <c r="D1002" s="14">
        <v>760.72545968400186</v>
      </c>
      <c r="E1002" s="14">
        <v>749.76010133040279</v>
      </c>
      <c r="F1002" s="14">
        <v>633.49755721719623</v>
      </c>
      <c r="G1002" s="14">
        <v>679.44749382679629</v>
      </c>
      <c r="H1002" s="14">
        <v>249.57311330579736</v>
      </c>
      <c r="I1002" s="14">
        <v>27.653181137713759</v>
      </c>
      <c r="J1002" s="14">
        <v>44.988837663152871</v>
      </c>
    </row>
    <row r="1003" spans="1:10" ht="15.75" x14ac:dyDescent="0.5">
      <c r="A1003" s="13" t="s">
        <v>298</v>
      </c>
      <c r="B1003" s="13" t="s">
        <v>413</v>
      </c>
      <c r="C1003" s="13" t="s">
        <v>400</v>
      </c>
      <c r="D1003" s="14">
        <v>23.702927619886133</v>
      </c>
      <c r="E1003" s="14">
        <v>19.852433102373553</v>
      </c>
      <c r="F1003" s="14">
        <v>5.765195492005426</v>
      </c>
      <c r="G1003" s="14">
        <v>3.2423324634120716</v>
      </c>
      <c r="H1003" s="14">
        <v>1.9102063978433543</v>
      </c>
      <c r="I1003" s="14">
        <v>0.96777264339154367</v>
      </c>
      <c r="J1003" s="14">
        <v>0.54896767883211761</v>
      </c>
    </row>
    <row r="1004" spans="1:10" ht="15.75" x14ac:dyDescent="0.5">
      <c r="A1004" s="13" t="s">
        <v>298</v>
      </c>
      <c r="B1004" s="13" t="s">
        <v>414</v>
      </c>
      <c r="C1004" s="13" t="s">
        <v>400</v>
      </c>
      <c r="D1004" s="14">
        <v>0.6803907705109502</v>
      </c>
      <c r="E1004" s="14">
        <v>24.410644358788304</v>
      </c>
      <c r="F1004" s="14">
        <v>100.47158524715579</v>
      </c>
      <c r="G1004" s="14">
        <v>206.81301068945797</v>
      </c>
      <c r="H1004" s="14">
        <v>253.2582831667352</v>
      </c>
      <c r="I1004" s="14">
        <v>254.77780442390366</v>
      </c>
      <c r="J1004" s="14">
        <v>255.9544067549204</v>
      </c>
    </row>
    <row r="1005" spans="1:10" ht="15.75" x14ac:dyDescent="0.5">
      <c r="A1005" s="13" t="s">
        <v>298</v>
      </c>
      <c r="B1005" s="13" t="s">
        <v>415</v>
      </c>
      <c r="C1005" s="13" t="s">
        <v>400</v>
      </c>
      <c r="D1005" s="14">
        <v>440.5312448325555</v>
      </c>
      <c r="E1005" s="14">
        <v>874.72938291532137</v>
      </c>
      <c r="F1005" s="14">
        <v>1401.2389283292223</v>
      </c>
      <c r="G1005" s="14">
        <v>1603.2034807956136</v>
      </c>
      <c r="H1005" s="14">
        <v>2478.7313466151081</v>
      </c>
      <c r="I1005" s="14">
        <v>3857.7884975478146</v>
      </c>
      <c r="J1005" s="14">
        <v>4059.7918827363624</v>
      </c>
    </row>
    <row r="1006" spans="1:10" ht="15.75" x14ac:dyDescent="0.5">
      <c r="A1006" s="13" t="s">
        <v>298</v>
      </c>
      <c r="B1006" s="13" t="s">
        <v>416</v>
      </c>
      <c r="C1006" s="13" t="s">
        <v>400</v>
      </c>
      <c r="D1006" s="14" t="s">
        <v>250</v>
      </c>
      <c r="E1006" s="14">
        <v>70.934498682900752</v>
      </c>
      <c r="F1006" s="14">
        <v>100.19546122793699</v>
      </c>
      <c r="G1006" s="14">
        <v>127.69344447727374</v>
      </c>
      <c r="H1006" s="14">
        <v>145.88323771792341</v>
      </c>
      <c r="I1006" s="14">
        <v>165.7790673137323</v>
      </c>
      <c r="J1006" s="14">
        <v>186.2865730549081</v>
      </c>
    </row>
    <row r="1007" spans="1:10" ht="15.75" x14ac:dyDescent="0.5">
      <c r="A1007" s="13" t="s">
        <v>298</v>
      </c>
      <c r="B1007" s="13" t="s">
        <v>417</v>
      </c>
      <c r="C1007" s="13" t="s">
        <v>400</v>
      </c>
      <c r="D1007" s="14">
        <v>187.4870963340868</v>
      </c>
      <c r="E1007" s="14">
        <v>298.28037876982745</v>
      </c>
      <c r="F1007" s="14">
        <v>339.94935565504693</v>
      </c>
      <c r="G1007" s="14">
        <v>1164.9282810601985</v>
      </c>
      <c r="H1007" s="14">
        <v>2878.2997392190368</v>
      </c>
      <c r="I1007" s="14">
        <v>4493.6218441190504</v>
      </c>
      <c r="J1007" s="14">
        <v>4704.6664919750538</v>
      </c>
    </row>
    <row r="1008" spans="1:10" ht="15.75" x14ac:dyDescent="0.5">
      <c r="A1008" s="13" t="s">
        <v>298</v>
      </c>
      <c r="B1008" s="13" t="s">
        <v>418</v>
      </c>
      <c r="C1008" s="13" t="s">
        <v>400</v>
      </c>
      <c r="D1008" s="14">
        <v>3.1841751731019534</v>
      </c>
      <c r="E1008" s="14">
        <v>3.1841751731019534</v>
      </c>
      <c r="F1008" s="14">
        <v>3.1841751731019539</v>
      </c>
      <c r="G1008" s="14">
        <v>3.184175173101953</v>
      </c>
      <c r="H1008" s="14">
        <v>3.184175173101953</v>
      </c>
      <c r="I1008" s="14">
        <v>3.184175173101953</v>
      </c>
      <c r="J1008" s="14">
        <v>3.1841751731019534</v>
      </c>
    </row>
    <row r="1009" spans="1:10" ht="15.75" x14ac:dyDescent="0.5">
      <c r="A1009" s="13" t="s">
        <v>298</v>
      </c>
      <c r="B1009" s="13" t="s">
        <v>419</v>
      </c>
      <c r="C1009" s="13" t="s">
        <v>400</v>
      </c>
      <c r="D1009" s="14">
        <v>0.54465920264079482</v>
      </c>
      <c r="E1009" s="14">
        <v>10.994269892875476</v>
      </c>
      <c r="F1009" s="14">
        <v>93.704711476356536</v>
      </c>
      <c r="G1009" s="14">
        <v>295.15511128546501</v>
      </c>
      <c r="H1009" s="14">
        <v>1291.3273130430553</v>
      </c>
      <c r="I1009" s="14">
        <v>2785.6464576674352</v>
      </c>
      <c r="J1009" s="14">
        <v>3302.3576592929458</v>
      </c>
    </row>
    <row r="1010" spans="1:10" ht="15.75" x14ac:dyDescent="0.5">
      <c r="A1010" s="13" t="s">
        <v>298</v>
      </c>
      <c r="B1010" s="13" t="s">
        <v>420</v>
      </c>
      <c r="C1010" s="13" t="s">
        <v>400</v>
      </c>
      <c r="D1010" s="14">
        <v>-13.987252957808375</v>
      </c>
      <c r="E1010" s="14">
        <v>-13.706788325844499</v>
      </c>
      <c r="F1010" s="14">
        <v>-14.045539342650967</v>
      </c>
      <c r="G1010" s="14">
        <v>-11.755166396886658</v>
      </c>
      <c r="H1010" s="14">
        <v>-13.71653045549721</v>
      </c>
      <c r="I1010" s="14">
        <v>-17.660219610960425</v>
      </c>
      <c r="J1010" s="14">
        <v>-22.908314302509517</v>
      </c>
    </row>
    <row r="1011" spans="1:10" ht="15.75" x14ac:dyDescent="0.5">
      <c r="A1011" s="13" t="s">
        <v>299</v>
      </c>
      <c r="B1011" s="13" t="s">
        <v>399</v>
      </c>
      <c r="C1011" s="13" t="s">
        <v>400</v>
      </c>
      <c r="D1011" s="14">
        <v>7.2499064625597889</v>
      </c>
      <c r="E1011" s="14">
        <v>4.2389343065693544E-2</v>
      </c>
      <c r="F1011" s="14">
        <v>0.51246000000000103</v>
      </c>
      <c r="G1011" s="14">
        <v>1.0860056653839669</v>
      </c>
      <c r="H1011" s="14">
        <v>0.85736644598256884</v>
      </c>
      <c r="I1011" s="14">
        <v>0.16015287591240907</v>
      </c>
      <c r="J1011" s="14">
        <v>1.4402511240875939</v>
      </c>
    </row>
    <row r="1012" spans="1:10" ht="15.75" x14ac:dyDescent="0.5">
      <c r="A1012" s="13" t="s">
        <v>299</v>
      </c>
      <c r="B1012" s="13" t="s">
        <v>401</v>
      </c>
      <c r="C1012" s="13" t="s">
        <v>400</v>
      </c>
      <c r="D1012" s="14" t="s">
        <v>250</v>
      </c>
      <c r="E1012" s="14" t="s">
        <v>250</v>
      </c>
      <c r="F1012" s="14">
        <v>138.44972435786224</v>
      </c>
      <c r="G1012" s="14">
        <v>138.44972435786224</v>
      </c>
      <c r="H1012" s="14">
        <v>5.438812197815154</v>
      </c>
      <c r="I1012" s="14" t="s">
        <v>250</v>
      </c>
      <c r="J1012" s="14" t="s">
        <v>250</v>
      </c>
    </row>
    <row r="1013" spans="1:10" ht="15.75" x14ac:dyDescent="0.5">
      <c r="A1013" s="13" t="s">
        <v>299</v>
      </c>
      <c r="B1013" s="13" t="s">
        <v>402</v>
      </c>
      <c r="C1013" s="13" t="s">
        <v>400</v>
      </c>
      <c r="D1013" s="14">
        <v>1072.9916742877465</v>
      </c>
      <c r="E1013" s="14">
        <v>403.84936799511655</v>
      </c>
      <c r="F1013" s="14">
        <v>167.67342783538822</v>
      </c>
      <c r="G1013" s="14">
        <v>159.8641326665219</v>
      </c>
      <c r="H1013" s="14">
        <v>91.608891779864408</v>
      </c>
      <c r="I1013" s="14">
        <v>34.767057794473779</v>
      </c>
      <c r="J1013" s="14">
        <v>0.16241040000000032</v>
      </c>
    </row>
    <row r="1014" spans="1:10" ht="15.75" x14ac:dyDescent="0.5">
      <c r="A1014" s="13" t="s">
        <v>299</v>
      </c>
      <c r="B1014" s="13" t="s">
        <v>403</v>
      </c>
      <c r="C1014" s="13" t="s">
        <v>400</v>
      </c>
      <c r="D1014" s="14" t="s">
        <v>250</v>
      </c>
      <c r="E1014" s="14" t="s">
        <v>250</v>
      </c>
      <c r="F1014" s="14">
        <v>44.715961920187581</v>
      </c>
      <c r="G1014" s="14">
        <v>44.715961920187674</v>
      </c>
      <c r="H1014" s="14">
        <v>10.05784145613244</v>
      </c>
      <c r="I1014" s="14">
        <v>4.6679850000000105</v>
      </c>
      <c r="J1014" s="14" t="s">
        <v>250</v>
      </c>
    </row>
    <row r="1015" spans="1:10" ht="15.75" x14ac:dyDescent="0.5">
      <c r="A1015" s="13" t="s">
        <v>299</v>
      </c>
      <c r="B1015" s="13" t="s">
        <v>405</v>
      </c>
      <c r="C1015" s="13" t="s">
        <v>400</v>
      </c>
      <c r="D1015" s="14">
        <v>1259.3891290889935</v>
      </c>
      <c r="E1015" s="14">
        <v>1304.0903825632763</v>
      </c>
      <c r="F1015" s="14">
        <v>1320.0752103074763</v>
      </c>
      <c r="G1015" s="14">
        <v>1146.561399363871</v>
      </c>
      <c r="H1015" s="14">
        <v>953.00185056212456</v>
      </c>
      <c r="I1015" s="14">
        <v>514.89473021932497</v>
      </c>
      <c r="J1015" s="14">
        <v>312.78479564515857</v>
      </c>
    </row>
    <row r="1016" spans="1:10" ht="15.75" x14ac:dyDescent="0.5">
      <c r="A1016" s="13" t="s">
        <v>299</v>
      </c>
      <c r="B1016" s="13" t="s">
        <v>406</v>
      </c>
      <c r="C1016" s="13" t="s">
        <v>400</v>
      </c>
      <c r="D1016" s="14">
        <v>23.479196814299332</v>
      </c>
      <c r="E1016" s="14">
        <v>22.657914438571286</v>
      </c>
      <c r="F1016" s="14">
        <v>42.941351418861487</v>
      </c>
      <c r="G1016" s="14">
        <v>41.055180641816015</v>
      </c>
      <c r="H1016" s="14">
        <v>37.707416100590116</v>
      </c>
      <c r="I1016" s="14">
        <v>32.282438568261227</v>
      </c>
      <c r="J1016" s="14">
        <v>24.277528106935073</v>
      </c>
    </row>
    <row r="1017" spans="1:10" ht="15.75" x14ac:dyDescent="0.5">
      <c r="A1017" s="13" t="s">
        <v>299</v>
      </c>
      <c r="B1017" s="13" t="s">
        <v>407</v>
      </c>
      <c r="C1017" s="13" t="s">
        <v>400</v>
      </c>
      <c r="D1017" s="14" t="s">
        <v>250</v>
      </c>
      <c r="E1017" s="14">
        <v>147.97019618223203</v>
      </c>
      <c r="F1017" s="14">
        <v>103.1811244763457</v>
      </c>
      <c r="G1017" s="14">
        <v>159.73604081742209</v>
      </c>
      <c r="H1017" s="14" t="s">
        <v>250</v>
      </c>
      <c r="I1017" s="14" t="s">
        <v>250</v>
      </c>
      <c r="J1017" s="14" t="s">
        <v>250</v>
      </c>
    </row>
    <row r="1018" spans="1:10" ht="15.75" x14ac:dyDescent="0.5">
      <c r="A1018" s="13" t="s">
        <v>299</v>
      </c>
      <c r="B1018" s="13" t="s">
        <v>408</v>
      </c>
      <c r="C1018" s="13" t="s">
        <v>400</v>
      </c>
      <c r="D1018" s="14">
        <v>46.892290321001241</v>
      </c>
      <c r="E1018" s="14">
        <v>34.931092890006397</v>
      </c>
      <c r="F1018" s="14">
        <v>30.389178797641637</v>
      </c>
      <c r="G1018" s="14">
        <v>46.138191283298191</v>
      </c>
      <c r="H1018" s="14">
        <v>41.878665868172561</v>
      </c>
      <c r="I1018" s="14">
        <v>29.525787177029461</v>
      </c>
      <c r="J1018" s="14">
        <v>27.580574535285809</v>
      </c>
    </row>
    <row r="1019" spans="1:10" ht="15.75" x14ac:dyDescent="0.5">
      <c r="A1019" s="13" t="s">
        <v>299</v>
      </c>
      <c r="B1019" s="13" t="s">
        <v>409</v>
      </c>
      <c r="C1019" s="13" t="s">
        <v>400</v>
      </c>
      <c r="D1019" s="14">
        <v>18.365704270000034</v>
      </c>
      <c r="E1019" s="14">
        <v>18.36570427000003</v>
      </c>
      <c r="F1019" s="14">
        <v>18.365704270000027</v>
      </c>
      <c r="G1019" s="14">
        <v>18.365704270000034</v>
      </c>
      <c r="H1019" s="14">
        <v>18.365704270000034</v>
      </c>
      <c r="I1019" s="14">
        <v>17.847651137647649</v>
      </c>
      <c r="J1019" s="14">
        <v>17.12668422380197</v>
      </c>
    </row>
    <row r="1020" spans="1:10" ht="15.75" x14ac:dyDescent="0.5">
      <c r="A1020" s="13" t="s">
        <v>299</v>
      </c>
      <c r="B1020" s="13" t="s">
        <v>410</v>
      </c>
      <c r="C1020" s="13" t="s">
        <v>400</v>
      </c>
      <c r="D1020" s="14">
        <v>245.79356253202218</v>
      </c>
      <c r="E1020" s="14">
        <v>244.71503670939549</v>
      </c>
      <c r="F1020" s="14">
        <v>246.14648567844171</v>
      </c>
      <c r="G1020" s="14">
        <v>246.16997594139053</v>
      </c>
      <c r="H1020" s="14">
        <v>246.16997594084418</v>
      </c>
      <c r="I1020" s="14">
        <v>246.16997594139102</v>
      </c>
      <c r="J1020" s="14">
        <v>245.75534936185855</v>
      </c>
    </row>
    <row r="1021" spans="1:10" ht="15.75" x14ac:dyDescent="0.5">
      <c r="A1021" s="13" t="s">
        <v>299</v>
      </c>
      <c r="B1021" s="13" t="s">
        <v>411</v>
      </c>
      <c r="C1021" s="13" t="s">
        <v>400</v>
      </c>
      <c r="D1021" s="14">
        <v>7.1394000000000144</v>
      </c>
      <c r="E1021" s="14">
        <v>6.1130477200473372</v>
      </c>
      <c r="F1021" s="14" t="s">
        <v>250</v>
      </c>
      <c r="G1021" s="14" t="s">
        <v>250</v>
      </c>
      <c r="H1021" s="14" t="s">
        <v>250</v>
      </c>
      <c r="I1021" s="14" t="s">
        <v>250</v>
      </c>
      <c r="J1021" s="14" t="s">
        <v>250</v>
      </c>
    </row>
    <row r="1022" spans="1:10" ht="15.75" x14ac:dyDescent="0.5">
      <c r="A1022" s="13" t="s">
        <v>299</v>
      </c>
      <c r="B1022" s="13" t="s">
        <v>412</v>
      </c>
      <c r="C1022" s="13" t="s">
        <v>400</v>
      </c>
      <c r="D1022" s="14">
        <v>760.72545968400175</v>
      </c>
      <c r="E1022" s="14">
        <v>749.51456147783017</v>
      </c>
      <c r="F1022" s="14">
        <v>632.710719761831</v>
      </c>
      <c r="G1022" s="14">
        <v>679.14842865585138</v>
      </c>
      <c r="H1022" s="14">
        <v>235.00619221629432</v>
      </c>
      <c r="I1022" s="14">
        <v>32.096334274946415</v>
      </c>
      <c r="J1022" s="14">
        <v>202.13691931789148</v>
      </c>
    </row>
    <row r="1023" spans="1:10" ht="15.75" x14ac:dyDescent="0.5">
      <c r="A1023" s="13" t="s">
        <v>299</v>
      </c>
      <c r="B1023" s="13" t="s">
        <v>413</v>
      </c>
      <c r="C1023" s="13" t="s">
        <v>400</v>
      </c>
      <c r="D1023" s="14">
        <v>23.702927619886136</v>
      </c>
      <c r="E1023" s="14">
        <v>19.721625755507493</v>
      </c>
      <c r="F1023" s="14">
        <v>5.9526746380954849</v>
      </c>
      <c r="G1023" s="14">
        <v>3.2398519144897286</v>
      </c>
      <c r="H1023" s="14">
        <v>2.1060234403771325</v>
      </c>
      <c r="I1023" s="14">
        <v>0.98736076157099006</v>
      </c>
      <c r="J1023" s="14">
        <v>0.52566884671532921</v>
      </c>
    </row>
    <row r="1024" spans="1:10" ht="15.75" x14ac:dyDescent="0.5">
      <c r="A1024" s="13" t="s">
        <v>299</v>
      </c>
      <c r="B1024" s="13" t="s">
        <v>414</v>
      </c>
      <c r="C1024" s="13" t="s">
        <v>400</v>
      </c>
      <c r="D1024" s="14">
        <v>0.6803907705109502</v>
      </c>
      <c r="E1024" s="14">
        <v>24.41816078922092</v>
      </c>
      <c r="F1024" s="14">
        <v>100.49094196308528</v>
      </c>
      <c r="G1024" s="14">
        <v>206.80849108235958</v>
      </c>
      <c r="H1024" s="14">
        <v>253.25372305982114</v>
      </c>
      <c r="I1024" s="14">
        <v>254.7732141575523</v>
      </c>
      <c r="J1024" s="14">
        <v>255.9497932227174</v>
      </c>
    </row>
    <row r="1025" spans="1:10" ht="15.75" x14ac:dyDescent="0.5">
      <c r="A1025" s="13" t="s">
        <v>299</v>
      </c>
      <c r="B1025" s="13" t="s">
        <v>415</v>
      </c>
      <c r="C1025" s="13" t="s">
        <v>400</v>
      </c>
      <c r="D1025" s="14">
        <v>440.53124483255556</v>
      </c>
      <c r="E1025" s="14">
        <v>874.72938291532159</v>
      </c>
      <c r="F1025" s="14">
        <v>1401.7144052880608</v>
      </c>
      <c r="G1025" s="14">
        <v>1602.9105358574884</v>
      </c>
      <c r="H1025" s="14">
        <v>2489.3470956332976</v>
      </c>
      <c r="I1025" s="14">
        <v>3825.5809819158344</v>
      </c>
      <c r="J1025" s="14">
        <v>3915.9500802977404</v>
      </c>
    </row>
    <row r="1026" spans="1:10" ht="15.75" x14ac:dyDescent="0.5">
      <c r="A1026" s="13" t="s">
        <v>299</v>
      </c>
      <c r="B1026" s="13" t="s">
        <v>416</v>
      </c>
      <c r="C1026" s="13" t="s">
        <v>400</v>
      </c>
      <c r="D1026" s="14" t="s">
        <v>250</v>
      </c>
      <c r="E1026" s="14">
        <v>70.934498682900738</v>
      </c>
      <c r="F1026" s="14">
        <v>100.19546122793702</v>
      </c>
      <c r="G1026" s="14">
        <v>127.69344447727372</v>
      </c>
      <c r="H1026" s="14">
        <v>145.88323771792344</v>
      </c>
      <c r="I1026" s="14">
        <v>165.77906731373233</v>
      </c>
      <c r="J1026" s="14">
        <v>186.28657305490802</v>
      </c>
    </row>
    <row r="1027" spans="1:10" ht="15.75" x14ac:dyDescent="0.5">
      <c r="A1027" s="13" t="s">
        <v>299</v>
      </c>
      <c r="B1027" s="13" t="s">
        <v>417</v>
      </c>
      <c r="C1027" s="13" t="s">
        <v>400</v>
      </c>
      <c r="D1027" s="14">
        <v>187.48709633408697</v>
      </c>
      <c r="E1027" s="14">
        <v>298.30786724466157</v>
      </c>
      <c r="F1027" s="14">
        <v>339.94935565504687</v>
      </c>
      <c r="G1027" s="14">
        <v>1164.0197255713761</v>
      </c>
      <c r="H1027" s="14">
        <v>2889.4684071998699</v>
      </c>
      <c r="I1027" s="14">
        <v>4387.2085835298039</v>
      </c>
      <c r="J1027" s="14">
        <v>4568.5617309789341</v>
      </c>
    </row>
    <row r="1028" spans="1:10" ht="15.75" x14ac:dyDescent="0.5">
      <c r="A1028" s="13" t="s">
        <v>299</v>
      </c>
      <c r="B1028" s="13" t="s">
        <v>418</v>
      </c>
      <c r="C1028" s="13" t="s">
        <v>400</v>
      </c>
      <c r="D1028" s="14">
        <v>3.1841751731019539</v>
      </c>
      <c r="E1028" s="14">
        <v>3.184175173101953</v>
      </c>
      <c r="F1028" s="14">
        <v>3.184175173101953</v>
      </c>
      <c r="G1028" s="14">
        <v>3.1841751731019534</v>
      </c>
      <c r="H1028" s="14">
        <v>3.184175173101953</v>
      </c>
      <c r="I1028" s="14">
        <v>3.1841751731019534</v>
      </c>
      <c r="J1028" s="14">
        <v>3.184175173101953</v>
      </c>
    </row>
    <row r="1029" spans="1:10" ht="15.75" x14ac:dyDescent="0.5">
      <c r="A1029" s="13" t="s">
        <v>299</v>
      </c>
      <c r="B1029" s="13" t="s">
        <v>419</v>
      </c>
      <c r="C1029" s="13" t="s">
        <v>400</v>
      </c>
      <c r="D1029" s="14">
        <v>0.54465920264079504</v>
      </c>
      <c r="E1029" s="14">
        <v>10.716231937292996</v>
      </c>
      <c r="F1029" s="14">
        <v>93.468015701942093</v>
      </c>
      <c r="G1029" s="14">
        <v>294.43726809827814</v>
      </c>
      <c r="H1029" s="14">
        <v>1293.0218810408485</v>
      </c>
      <c r="I1029" s="14">
        <v>2684.0749548851845</v>
      </c>
      <c r="J1029" s="14">
        <v>2972.2036102194511</v>
      </c>
    </row>
    <row r="1030" spans="1:10" ht="15.75" x14ac:dyDescent="0.5">
      <c r="A1030" s="13" t="s">
        <v>299</v>
      </c>
      <c r="B1030" s="13" t="s">
        <v>420</v>
      </c>
      <c r="C1030" s="13" t="s">
        <v>400</v>
      </c>
      <c r="D1030" s="14">
        <v>-13.987252957808295</v>
      </c>
      <c r="E1030" s="14">
        <v>-13.712978064906579</v>
      </c>
      <c r="F1030" s="14">
        <v>-13.938319993940578</v>
      </c>
      <c r="G1030" s="14">
        <v>-11.739454380782227</v>
      </c>
      <c r="H1030" s="14">
        <v>-13.767941949974826</v>
      </c>
      <c r="I1030" s="14">
        <v>-17.861841639098532</v>
      </c>
      <c r="J1030" s="14">
        <v>-21.783477942956903</v>
      </c>
    </row>
    <row r="1031" spans="1:10" ht="15.75" x14ac:dyDescent="0.5">
      <c r="A1031" s="13" t="s">
        <v>300</v>
      </c>
      <c r="B1031" s="13" t="s">
        <v>399</v>
      </c>
      <c r="C1031" s="13" t="s">
        <v>400</v>
      </c>
      <c r="D1031" s="14">
        <v>7.2499064625597898</v>
      </c>
      <c r="E1031" s="14">
        <v>4.2389343065693544E-2</v>
      </c>
      <c r="F1031" s="14">
        <v>0.51246000000000103</v>
      </c>
      <c r="G1031" s="14">
        <v>1.0459718957236792</v>
      </c>
      <c r="H1031" s="14">
        <v>0.87417237329947639</v>
      </c>
      <c r="I1031" s="14">
        <v>0.19087112408759169</v>
      </c>
      <c r="J1031" s="14">
        <v>2.1206811678832156</v>
      </c>
    </row>
    <row r="1032" spans="1:10" ht="15.75" x14ac:dyDescent="0.5">
      <c r="A1032" s="13" t="s">
        <v>300</v>
      </c>
      <c r="B1032" s="13" t="s">
        <v>401</v>
      </c>
      <c r="C1032" s="13" t="s">
        <v>400</v>
      </c>
      <c r="D1032" s="14" t="s">
        <v>250</v>
      </c>
      <c r="E1032" s="14" t="s">
        <v>250</v>
      </c>
      <c r="F1032" s="14">
        <v>137.03438491752772</v>
      </c>
      <c r="G1032" s="14">
        <v>137.03438491752769</v>
      </c>
      <c r="H1032" s="14">
        <v>4.9455527274575743</v>
      </c>
      <c r="I1032" s="14" t="s">
        <v>250</v>
      </c>
      <c r="J1032" s="14" t="s">
        <v>250</v>
      </c>
    </row>
    <row r="1033" spans="1:10" ht="15.75" x14ac:dyDescent="0.5">
      <c r="A1033" s="13" t="s">
        <v>300</v>
      </c>
      <c r="B1033" s="13" t="s">
        <v>402</v>
      </c>
      <c r="C1033" s="13" t="s">
        <v>400</v>
      </c>
      <c r="D1033" s="14">
        <v>1072.9916742877465</v>
      </c>
      <c r="E1033" s="14">
        <v>403.65226461514078</v>
      </c>
      <c r="F1033" s="14">
        <v>168.31122426550527</v>
      </c>
      <c r="G1033" s="14">
        <v>160.83932496011121</v>
      </c>
      <c r="H1033" s="14">
        <v>92.776151373222461</v>
      </c>
      <c r="I1033" s="14">
        <v>33.720158448948958</v>
      </c>
      <c r="J1033" s="14" t="s">
        <v>250</v>
      </c>
    </row>
    <row r="1034" spans="1:10" ht="15.75" x14ac:dyDescent="0.5">
      <c r="A1034" s="13" t="s">
        <v>300</v>
      </c>
      <c r="B1034" s="13" t="s">
        <v>403</v>
      </c>
      <c r="C1034" s="13" t="s">
        <v>400</v>
      </c>
      <c r="D1034" s="14" t="s">
        <v>250</v>
      </c>
      <c r="E1034" s="14" t="s">
        <v>250</v>
      </c>
      <c r="F1034" s="14">
        <v>44.775681462453306</v>
      </c>
      <c r="G1034" s="14">
        <v>44.775681462453299</v>
      </c>
      <c r="H1034" s="14">
        <v>10.098720236757588</v>
      </c>
      <c r="I1034" s="14">
        <v>4.6679850000000096</v>
      </c>
      <c r="J1034" s="14" t="s">
        <v>250</v>
      </c>
    </row>
    <row r="1035" spans="1:10" ht="15.75" x14ac:dyDescent="0.5">
      <c r="A1035" s="13" t="s">
        <v>300</v>
      </c>
      <c r="B1035" s="13" t="s">
        <v>421</v>
      </c>
      <c r="C1035" s="13" t="s">
        <v>400</v>
      </c>
      <c r="D1035" s="14" t="s">
        <v>250</v>
      </c>
      <c r="E1035" s="14" t="s">
        <v>250</v>
      </c>
      <c r="F1035" s="14" t="s">
        <v>250</v>
      </c>
      <c r="G1035" s="14">
        <v>0.97428419379733056</v>
      </c>
      <c r="H1035" s="14">
        <v>2.6261147335347328</v>
      </c>
      <c r="I1035" s="14">
        <v>2.5343619313626493</v>
      </c>
      <c r="J1035" s="14">
        <v>1.5484235510408511</v>
      </c>
    </row>
    <row r="1036" spans="1:10" ht="15.75" x14ac:dyDescent="0.5">
      <c r="A1036" s="13" t="s">
        <v>300</v>
      </c>
      <c r="B1036" s="13" t="s">
        <v>405</v>
      </c>
      <c r="C1036" s="13" t="s">
        <v>400</v>
      </c>
      <c r="D1036" s="14">
        <v>1259.3891290889944</v>
      </c>
      <c r="E1036" s="14">
        <v>1303.3703446494105</v>
      </c>
      <c r="F1036" s="14">
        <v>1319.9875753916529</v>
      </c>
      <c r="G1036" s="14">
        <v>1144.8365478791866</v>
      </c>
      <c r="H1036" s="14">
        <v>951.50798251070341</v>
      </c>
      <c r="I1036" s="14">
        <v>487.01800927549681</v>
      </c>
      <c r="J1036" s="14">
        <v>322.71359258967141</v>
      </c>
    </row>
    <row r="1037" spans="1:10" ht="15.75" x14ac:dyDescent="0.5">
      <c r="A1037" s="13" t="s">
        <v>300</v>
      </c>
      <c r="B1037" s="13" t="s">
        <v>406</v>
      </c>
      <c r="C1037" s="13" t="s">
        <v>400</v>
      </c>
      <c r="D1037" s="14">
        <v>23.479196814299332</v>
      </c>
      <c r="E1037" s="14">
        <v>22.475650681778067</v>
      </c>
      <c r="F1037" s="14">
        <v>42.675948317926171</v>
      </c>
      <c r="G1037" s="14">
        <v>40.868587072682686</v>
      </c>
      <c r="H1037" s="14">
        <v>37.349127570531763</v>
      </c>
      <c r="I1037" s="14">
        <v>30.980869468396801</v>
      </c>
      <c r="J1037" s="14">
        <v>21.776707805420148</v>
      </c>
    </row>
    <row r="1038" spans="1:10" ht="15.75" x14ac:dyDescent="0.5">
      <c r="A1038" s="13" t="s">
        <v>300</v>
      </c>
      <c r="B1038" s="13" t="s">
        <v>407</v>
      </c>
      <c r="C1038" s="13" t="s">
        <v>400</v>
      </c>
      <c r="D1038" s="14" t="s">
        <v>250</v>
      </c>
      <c r="E1038" s="14">
        <v>148.76572556898779</v>
      </c>
      <c r="F1038" s="14">
        <v>104.63924362735996</v>
      </c>
      <c r="G1038" s="14">
        <v>159.55208236487204</v>
      </c>
      <c r="H1038" s="14" t="s">
        <v>250</v>
      </c>
      <c r="I1038" s="14" t="s">
        <v>250</v>
      </c>
      <c r="J1038" s="14" t="s">
        <v>250</v>
      </c>
    </row>
    <row r="1039" spans="1:10" ht="15.75" x14ac:dyDescent="0.5">
      <c r="A1039" s="13" t="s">
        <v>300</v>
      </c>
      <c r="B1039" s="13" t="s">
        <v>408</v>
      </c>
      <c r="C1039" s="13" t="s">
        <v>400</v>
      </c>
      <c r="D1039" s="14">
        <v>46.892290321001234</v>
      </c>
      <c r="E1039" s="14">
        <v>34.959215023488213</v>
      </c>
      <c r="F1039" s="14">
        <v>30.148195098651389</v>
      </c>
      <c r="G1039" s="14">
        <v>46.138190771189322</v>
      </c>
      <c r="H1039" s="14">
        <v>41.796845322576175</v>
      </c>
      <c r="I1039" s="14">
        <v>29.589580065519318</v>
      </c>
      <c r="J1039" s="14">
        <v>28.726014044499461</v>
      </c>
    </row>
    <row r="1040" spans="1:10" ht="15.75" x14ac:dyDescent="0.5">
      <c r="A1040" s="13" t="s">
        <v>300</v>
      </c>
      <c r="B1040" s="13" t="s">
        <v>409</v>
      </c>
      <c r="C1040" s="13" t="s">
        <v>400</v>
      </c>
      <c r="D1040" s="14">
        <v>18.36570427000003</v>
      </c>
      <c r="E1040" s="14">
        <v>18.365704270000037</v>
      </c>
      <c r="F1040" s="14">
        <v>18.365704270000037</v>
      </c>
      <c r="G1040" s="14">
        <v>18.365704270000041</v>
      </c>
      <c r="H1040" s="14">
        <v>18.365704270000034</v>
      </c>
      <c r="I1040" s="14">
        <v>17.883045805719664</v>
      </c>
      <c r="J1040" s="14">
        <v>17.128942402599677</v>
      </c>
    </row>
    <row r="1041" spans="1:10" ht="15.75" x14ac:dyDescent="0.5">
      <c r="A1041" s="13" t="s">
        <v>300</v>
      </c>
      <c r="B1041" s="13" t="s">
        <v>410</v>
      </c>
      <c r="C1041" s="13" t="s">
        <v>400</v>
      </c>
      <c r="D1041" s="14">
        <v>245.79356253202212</v>
      </c>
      <c r="E1041" s="14">
        <v>244.67578887158322</v>
      </c>
      <c r="F1041" s="14">
        <v>246.14648567844222</v>
      </c>
      <c r="G1041" s="14">
        <v>246.16997594138968</v>
      </c>
      <c r="H1041" s="14">
        <v>246.16997594146443</v>
      </c>
      <c r="I1041" s="14">
        <v>246.15326914910057</v>
      </c>
      <c r="J1041" s="14">
        <v>245.67038096971078</v>
      </c>
    </row>
    <row r="1042" spans="1:10" ht="15.75" x14ac:dyDescent="0.5">
      <c r="A1042" s="13" t="s">
        <v>300</v>
      </c>
      <c r="B1042" s="13" t="s">
        <v>411</v>
      </c>
      <c r="C1042" s="13" t="s">
        <v>400</v>
      </c>
      <c r="D1042" s="14">
        <v>7.1394000000000144</v>
      </c>
      <c r="E1042" s="14">
        <v>6.075079668530794</v>
      </c>
      <c r="F1042" s="14" t="s">
        <v>250</v>
      </c>
      <c r="G1042" s="14" t="s">
        <v>250</v>
      </c>
      <c r="H1042" s="14" t="s">
        <v>250</v>
      </c>
      <c r="I1042" s="14" t="s">
        <v>250</v>
      </c>
      <c r="J1042" s="14" t="s">
        <v>250</v>
      </c>
    </row>
    <row r="1043" spans="1:10" ht="15.75" x14ac:dyDescent="0.5">
      <c r="A1043" s="13" t="s">
        <v>300</v>
      </c>
      <c r="B1043" s="13" t="s">
        <v>412</v>
      </c>
      <c r="C1043" s="13" t="s">
        <v>400</v>
      </c>
      <c r="D1043" s="14">
        <v>760.72545968400198</v>
      </c>
      <c r="E1043" s="14">
        <v>749.75417132985956</v>
      </c>
      <c r="F1043" s="14">
        <v>633.41444466382484</v>
      </c>
      <c r="G1043" s="14">
        <v>679.34482637103747</v>
      </c>
      <c r="H1043" s="14">
        <v>250.32614292778737</v>
      </c>
      <c r="I1043" s="14">
        <v>27.653181137713819</v>
      </c>
      <c r="J1043" s="14">
        <v>44.988837663152857</v>
      </c>
    </row>
    <row r="1044" spans="1:10" ht="15.75" x14ac:dyDescent="0.5">
      <c r="A1044" s="13" t="s">
        <v>300</v>
      </c>
      <c r="B1044" s="13" t="s">
        <v>413</v>
      </c>
      <c r="C1044" s="13" t="s">
        <v>400</v>
      </c>
      <c r="D1044" s="14">
        <v>23.702927619886133</v>
      </c>
      <c r="E1044" s="14">
        <v>19.854912799996004</v>
      </c>
      <c r="F1044" s="14">
        <v>5.8162968879522454</v>
      </c>
      <c r="G1044" s="14">
        <v>3.2382084806754636</v>
      </c>
      <c r="H1044" s="14">
        <v>1.9473118102169371</v>
      </c>
      <c r="I1044" s="14">
        <v>1.0243565846240874</v>
      </c>
      <c r="J1044" s="14">
        <v>0.54896767883211761</v>
      </c>
    </row>
    <row r="1045" spans="1:10" ht="15.75" x14ac:dyDescent="0.5">
      <c r="A1045" s="13" t="s">
        <v>300</v>
      </c>
      <c r="B1045" s="13" t="s">
        <v>414</v>
      </c>
      <c r="C1045" s="13" t="s">
        <v>400</v>
      </c>
      <c r="D1045" s="14">
        <v>0.68039077051095032</v>
      </c>
      <c r="E1045" s="14">
        <v>24.410644313362631</v>
      </c>
      <c r="F1045" s="14">
        <v>100.4715850453955</v>
      </c>
      <c r="G1045" s="14">
        <v>206.81301048345588</v>
      </c>
      <c r="H1045" s="14">
        <v>253.25828295888718</v>
      </c>
      <c r="I1045" s="14">
        <v>254.777804214681</v>
      </c>
      <c r="J1045" s="14">
        <v>255.95440654463727</v>
      </c>
    </row>
    <row r="1046" spans="1:10" ht="15.75" x14ac:dyDescent="0.5">
      <c r="A1046" s="13" t="s">
        <v>300</v>
      </c>
      <c r="B1046" s="13" t="s">
        <v>415</v>
      </c>
      <c r="C1046" s="13" t="s">
        <v>400</v>
      </c>
      <c r="D1046" s="14">
        <v>440.53124483255556</v>
      </c>
      <c r="E1046" s="14">
        <v>874.72938291532159</v>
      </c>
      <c r="F1046" s="14">
        <v>1401.375277866015</v>
      </c>
      <c r="G1046" s="14">
        <v>1603.684341376252</v>
      </c>
      <c r="H1046" s="14">
        <v>2477.5243217147413</v>
      </c>
      <c r="I1046" s="14">
        <v>3854.4848385974192</v>
      </c>
      <c r="J1046" s="14">
        <v>4058.3376844418663</v>
      </c>
    </row>
    <row r="1047" spans="1:10" ht="15.75" x14ac:dyDescent="0.5">
      <c r="A1047" s="13" t="s">
        <v>300</v>
      </c>
      <c r="B1047" s="13" t="s">
        <v>416</v>
      </c>
      <c r="C1047" s="13" t="s">
        <v>400</v>
      </c>
      <c r="D1047" s="14" t="s">
        <v>250</v>
      </c>
      <c r="E1047" s="14">
        <v>70.934498682900738</v>
      </c>
      <c r="F1047" s="14">
        <v>100.19546122793702</v>
      </c>
      <c r="G1047" s="14">
        <v>127.69344447727379</v>
      </c>
      <c r="H1047" s="14">
        <v>145.88323771792349</v>
      </c>
      <c r="I1047" s="14">
        <v>165.77906731373233</v>
      </c>
      <c r="J1047" s="14">
        <v>186.2865730549081</v>
      </c>
    </row>
    <row r="1048" spans="1:10" ht="15.75" x14ac:dyDescent="0.5">
      <c r="A1048" s="13" t="s">
        <v>300</v>
      </c>
      <c r="B1048" s="13" t="s">
        <v>417</v>
      </c>
      <c r="C1048" s="13" t="s">
        <v>400</v>
      </c>
      <c r="D1048" s="14">
        <v>187.48709633408691</v>
      </c>
      <c r="E1048" s="14">
        <v>298.27846849931171</v>
      </c>
      <c r="F1048" s="14">
        <v>339.94935565504699</v>
      </c>
      <c r="G1048" s="14">
        <v>1164.5278327176625</v>
      </c>
      <c r="H1048" s="14">
        <v>2877.9037947129295</v>
      </c>
      <c r="I1048" s="14">
        <v>4492.0497051418088</v>
      </c>
      <c r="J1048" s="14">
        <v>4702.8116489466765</v>
      </c>
    </row>
    <row r="1049" spans="1:10" ht="15.75" x14ac:dyDescent="0.5">
      <c r="A1049" s="13" t="s">
        <v>300</v>
      </c>
      <c r="B1049" s="13" t="s">
        <v>418</v>
      </c>
      <c r="C1049" s="13" t="s">
        <v>400</v>
      </c>
      <c r="D1049" s="14">
        <v>3.1841751731019539</v>
      </c>
      <c r="E1049" s="14">
        <v>3.1841751731019534</v>
      </c>
      <c r="F1049" s="14">
        <v>3.184175173101953</v>
      </c>
      <c r="G1049" s="14">
        <v>3.184175173101953</v>
      </c>
      <c r="H1049" s="14">
        <v>3.1841751731019534</v>
      </c>
      <c r="I1049" s="14">
        <v>3.1841751731019539</v>
      </c>
      <c r="J1049" s="14">
        <v>3.1841751731019534</v>
      </c>
    </row>
    <row r="1050" spans="1:10" ht="15.75" x14ac:dyDescent="0.5">
      <c r="A1050" s="13" t="s">
        <v>300</v>
      </c>
      <c r="B1050" s="13" t="s">
        <v>419</v>
      </c>
      <c r="C1050" s="13" t="s">
        <v>400</v>
      </c>
      <c r="D1050" s="14">
        <v>0.54465920264079504</v>
      </c>
      <c r="E1050" s="14">
        <v>10.994448946609623</v>
      </c>
      <c r="F1050" s="14">
        <v>93.861193092785925</v>
      </c>
      <c r="G1050" s="14">
        <v>295.15688451936529</v>
      </c>
      <c r="H1050" s="14">
        <v>1290.0960571162784</v>
      </c>
      <c r="I1050" s="14">
        <v>2779.0144186460825</v>
      </c>
      <c r="J1050" s="14">
        <v>3298.7217676363703</v>
      </c>
    </row>
    <row r="1051" spans="1:10" ht="15.75" x14ac:dyDescent="0.5">
      <c r="A1051" s="13" t="s">
        <v>300</v>
      </c>
      <c r="B1051" s="13" t="s">
        <v>420</v>
      </c>
      <c r="C1051" s="13" t="s">
        <v>400</v>
      </c>
      <c r="D1051" s="14">
        <v>-13.987252957808394</v>
      </c>
      <c r="E1051" s="14">
        <v>-13.709968865992693</v>
      </c>
      <c r="F1051" s="14">
        <v>-14.014643525482041</v>
      </c>
      <c r="G1051" s="14">
        <v>-11.741120968875459</v>
      </c>
      <c r="H1051" s="14">
        <v>-13.732547662129534</v>
      </c>
      <c r="I1051" s="14">
        <v>-17.730342374886728</v>
      </c>
      <c r="J1051" s="14">
        <v>-22.813739969593996</v>
      </c>
    </row>
    <row r="1052" spans="1:10" ht="15.75" x14ac:dyDescent="0.5">
      <c r="A1052" s="13" t="s">
        <v>301</v>
      </c>
      <c r="B1052" s="13" t="s">
        <v>399</v>
      </c>
      <c r="C1052" s="13" t="s">
        <v>400</v>
      </c>
      <c r="D1052" s="14">
        <v>7.2499064625597898</v>
      </c>
      <c r="E1052" s="14">
        <v>4.2389343065693544E-2</v>
      </c>
      <c r="F1052" s="14">
        <v>0.51246000000000114</v>
      </c>
      <c r="G1052" s="14">
        <v>1.045971895723679</v>
      </c>
      <c r="H1052" s="14">
        <v>0.87417237329947639</v>
      </c>
      <c r="I1052" s="14">
        <v>0.19087112408759169</v>
      </c>
      <c r="J1052" s="14">
        <v>2.1206811678832156</v>
      </c>
    </row>
    <row r="1053" spans="1:10" ht="15.75" x14ac:dyDescent="0.5">
      <c r="A1053" s="13" t="s">
        <v>301</v>
      </c>
      <c r="B1053" s="13" t="s">
        <v>401</v>
      </c>
      <c r="C1053" s="13" t="s">
        <v>400</v>
      </c>
      <c r="D1053" s="14" t="s">
        <v>250</v>
      </c>
      <c r="E1053" s="14" t="s">
        <v>250</v>
      </c>
      <c r="F1053" s="14">
        <v>137.03438222358733</v>
      </c>
      <c r="G1053" s="14">
        <v>137.03438222358739</v>
      </c>
      <c r="H1053" s="14">
        <v>4.9455527274575735</v>
      </c>
      <c r="I1053" s="14" t="s">
        <v>250</v>
      </c>
      <c r="J1053" s="14" t="s">
        <v>250</v>
      </c>
    </row>
    <row r="1054" spans="1:10" ht="15.75" x14ac:dyDescent="0.5">
      <c r="A1054" s="13" t="s">
        <v>301</v>
      </c>
      <c r="B1054" s="13" t="s">
        <v>402</v>
      </c>
      <c r="C1054" s="13" t="s">
        <v>400</v>
      </c>
      <c r="D1054" s="14">
        <v>1072.9916742877467</v>
      </c>
      <c r="E1054" s="14">
        <v>403.65226445347662</v>
      </c>
      <c r="F1054" s="14">
        <v>168.31122238547806</v>
      </c>
      <c r="G1054" s="14">
        <v>160.83932672190463</v>
      </c>
      <c r="H1054" s="14">
        <v>92.77614379112255</v>
      </c>
      <c r="I1054" s="14">
        <v>33.720161333528239</v>
      </c>
      <c r="J1054" s="14" t="s">
        <v>250</v>
      </c>
    </row>
    <row r="1055" spans="1:10" ht="15.75" x14ac:dyDescent="0.5">
      <c r="A1055" s="13" t="s">
        <v>301</v>
      </c>
      <c r="B1055" s="13" t="s">
        <v>403</v>
      </c>
      <c r="C1055" s="13" t="s">
        <v>400</v>
      </c>
      <c r="D1055" s="14" t="s">
        <v>250</v>
      </c>
      <c r="E1055" s="14" t="s">
        <v>250</v>
      </c>
      <c r="F1055" s="14">
        <v>44.775681462453335</v>
      </c>
      <c r="G1055" s="14">
        <v>44.775681462453356</v>
      </c>
      <c r="H1055" s="14">
        <v>10.098720514963734</v>
      </c>
      <c r="I1055" s="14">
        <v>4.6679850000000105</v>
      </c>
      <c r="J1055" s="14" t="s">
        <v>250</v>
      </c>
    </row>
    <row r="1056" spans="1:10" ht="15.75" x14ac:dyDescent="0.5">
      <c r="A1056" s="13" t="s">
        <v>301</v>
      </c>
      <c r="B1056" s="13" t="s">
        <v>421</v>
      </c>
      <c r="C1056" s="13" t="s">
        <v>400</v>
      </c>
      <c r="D1056" s="14" t="s">
        <v>250</v>
      </c>
      <c r="E1056" s="14" t="s">
        <v>250</v>
      </c>
      <c r="F1056" s="14" t="s">
        <v>250</v>
      </c>
      <c r="G1056" s="14">
        <v>0.97428419379733044</v>
      </c>
      <c r="H1056" s="14">
        <v>2.6261147335347332</v>
      </c>
      <c r="I1056" s="14">
        <v>2.5343619313626498</v>
      </c>
      <c r="J1056" s="14">
        <v>1.5484235510408508</v>
      </c>
    </row>
    <row r="1057" spans="1:10" ht="15.75" x14ac:dyDescent="0.5">
      <c r="A1057" s="13" t="s">
        <v>301</v>
      </c>
      <c r="B1057" s="13" t="s">
        <v>405</v>
      </c>
      <c r="C1057" s="13" t="s">
        <v>400</v>
      </c>
      <c r="D1057" s="14">
        <v>1259.3891290889947</v>
      </c>
      <c r="E1057" s="14">
        <v>1303.3703448062631</v>
      </c>
      <c r="F1057" s="14">
        <v>1319.9875776519477</v>
      </c>
      <c r="G1057" s="14">
        <v>1144.8365455937269</v>
      </c>
      <c r="H1057" s="14">
        <v>951.50800091010501</v>
      </c>
      <c r="I1057" s="14">
        <v>487.01799519999241</v>
      </c>
      <c r="J1057" s="14">
        <v>322.71359222541162</v>
      </c>
    </row>
    <row r="1058" spans="1:10" ht="15.75" x14ac:dyDescent="0.5">
      <c r="A1058" s="13" t="s">
        <v>301</v>
      </c>
      <c r="B1058" s="13" t="s">
        <v>406</v>
      </c>
      <c r="C1058" s="13" t="s">
        <v>400</v>
      </c>
      <c r="D1058" s="14">
        <v>23.479196814299328</v>
      </c>
      <c r="E1058" s="14">
        <v>22.475650695226427</v>
      </c>
      <c r="F1058" s="14">
        <v>42.675948364170651</v>
      </c>
      <c r="G1058" s="14">
        <v>40.868587080931917</v>
      </c>
      <c r="H1058" s="14">
        <v>37.349127511616551</v>
      </c>
      <c r="I1058" s="14">
        <v>30.980869052060338</v>
      </c>
      <c r="J1058" s="14">
        <v>21.776707810756371</v>
      </c>
    </row>
    <row r="1059" spans="1:10" ht="15.75" x14ac:dyDescent="0.5">
      <c r="A1059" s="13" t="s">
        <v>301</v>
      </c>
      <c r="B1059" s="13" t="s">
        <v>407</v>
      </c>
      <c r="C1059" s="13" t="s">
        <v>400</v>
      </c>
      <c r="D1059" s="14" t="s">
        <v>250</v>
      </c>
      <c r="E1059" s="14">
        <v>148.76572601668764</v>
      </c>
      <c r="F1059" s="14">
        <v>104.639246315139</v>
      </c>
      <c r="G1059" s="14">
        <v>159.55207645113344</v>
      </c>
      <c r="H1059" s="14" t="s">
        <v>250</v>
      </c>
      <c r="I1059" s="14" t="s">
        <v>250</v>
      </c>
      <c r="J1059" s="14" t="s">
        <v>250</v>
      </c>
    </row>
    <row r="1060" spans="1:10" ht="15.75" x14ac:dyDescent="0.5">
      <c r="A1060" s="13" t="s">
        <v>301</v>
      </c>
      <c r="B1060" s="13" t="s">
        <v>408</v>
      </c>
      <c r="C1060" s="13" t="s">
        <v>400</v>
      </c>
      <c r="D1060" s="14">
        <v>46.892290321001241</v>
      </c>
      <c r="E1060" s="14">
        <v>34.959215045926783</v>
      </c>
      <c r="F1060" s="14">
        <v>30.148195022297539</v>
      </c>
      <c r="G1060" s="14">
        <v>46.138190771136102</v>
      </c>
      <c r="H1060" s="14">
        <v>41.796845852497469</v>
      </c>
      <c r="I1060" s="14">
        <v>29.589580067038604</v>
      </c>
      <c r="J1060" s="14">
        <v>28.726012408440941</v>
      </c>
    </row>
    <row r="1061" spans="1:10" ht="15.75" x14ac:dyDescent="0.5">
      <c r="A1061" s="13" t="s">
        <v>301</v>
      </c>
      <c r="B1061" s="13" t="s">
        <v>409</v>
      </c>
      <c r="C1061" s="13" t="s">
        <v>400</v>
      </c>
      <c r="D1061" s="14">
        <v>18.365704270000037</v>
      </c>
      <c r="E1061" s="14">
        <v>18.365704270000034</v>
      </c>
      <c r="F1061" s="14">
        <v>18.36570427000003</v>
      </c>
      <c r="G1061" s="14">
        <v>18.365704270000034</v>
      </c>
      <c r="H1061" s="14">
        <v>18.36570427000003</v>
      </c>
      <c r="I1061" s="14">
        <v>17.883045806837774</v>
      </c>
      <c r="J1061" s="14">
        <v>17.128941691487618</v>
      </c>
    </row>
    <row r="1062" spans="1:10" ht="15.75" x14ac:dyDescent="0.5">
      <c r="A1062" s="13" t="s">
        <v>301</v>
      </c>
      <c r="B1062" s="13" t="s">
        <v>410</v>
      </c>
      <c r="C1062" s="13" t="s">
        <v>400</v>
      </c>
      <c r="D1062" s="14">
        <v>245.79356253202207</v>
      </c>
      <c r="E1062" s="14">
        <v>244.67578900748697</v>
      </c>
      <c r="F1062" s="14">
        <v>246.14648567844202</v>
      </c>
      <c r="G1062" s="14">
        <v>246.16997594139266</v>
      </c>
      <c r="H1062" s="14">
        <v>246.16997594149746</v>
      </c>
      <c r="I1062" s="14">
        <v>246.1532691489823</v>
      </c>
      <c r="J1062" s="14">
        <v>245.67038096971456</v>
      </c>
    </row>
    <row r="1063" spans="1:10" ht="15.75" x14ac:dyDescent="0.5">
      <c r="A1063" s="13" t="s">
        <v>301</v>
      </c>
      <c r="B1063" s="13" t="s">
        <v>411</v>
      </c>
      <c r="C1063" s="13" t="s">
        <v>400</v>
      </c>
      <c r="D1063" s="14">
        <v>7.1394000000000162</v>
      </c>
      <c r="E1063" s="14">
        <v>6.0750797406169719</v>
      </c>
      <c r="F1063" s="14" t="s">
        <v>250</v>
      </c>
      <c r="G1063" s="14" t="s">
        <v>250</v>
      </c>
      <c r="H1063" s="14" t="s">
        <v>250</v>
      </c>
      <c r="I1063" s="14" t="s">
        <v>250</v>
      </c>
      <c r="J1063" s="14" t="s">
        <v>250</v>
      </c>
    </row>
    <row r="1064" spans="1:10" ht="15.75" x14ac:dyDescent="0.5">
      <c r="A1064" s="13" t="s">
        <v>301</v>
      </c>
      <c r="B1064" s="13" t="s">
        <v>412</v>
      </c>
      <c r="C1064" s="13" t="s">
        <v>400</v>
      </c>
      <c r="D1064" s="14">
        <v>760.72545968400163</v>
      </c>
      <c r="E1064" s="14">
        <v>749.7541706081671</v>
      </c>
      <c r="F1064" s="14">
        <v>633.41444362568643</v>
      </c>
      <c r="G1064" s="14">
        <v>679.34482523730549</v>
      </c>
      <c r="H1064" s="14">
        <v>250.32614576762313</v>
      </c>
      <c r="I1064" s="14">
        <v>27.65318113771378</v>
      </c>
      <c r="J1064" s="14">
        <v>44.988837663152864</v>
      </c>
    </row>
    <row r="1065" spans="1:10" ht="15.75" x14ac:dyDescent="0.5">
      <c r="A1065" s="13" t="s">
        <v>301</v>
      </c>
      <c r="B1065" s="13" t="s">
        <v>413</v>
      </c>
      <c r="C1065" s="13" t="s">
        <v>400</v>
      </c>
      <c r="D1065" s="14">
        <v>23.702927619886136</v>
      </c>
      <c r="E1065" s="14">
        <v>19.854912917813493</v>
      </c>
      <c r="F1065" s="14">
        <v>5.8162964523244405</v>
      </c>
      <c r="G1065" s="14">
        <v>3.2382085028189258</v>
      </c>
      <c r="H1065" s="14">
        <v>1.9473119851183585</v>
      </c>
      <c r="I1065" s="14">
        <v>1.0243581415124494</v>
      </c>
      <c r="J1065" s="14">
        <v>0.54896767883211761</v>
      </c>
    </row>
    <row r="1066" spans="1:10" ht="15.75" x14ac:dyDescent="0.5">
      <c r="A1066" s="13" t="s">
        <v>301</v>
      </c>
      <c r="B1066" s="13" t="s">
        <v>414</v>
      </c>
      <c r="C1066" s="13" t="s">
        <v>400</v>
      </c>
      <c r="D1066" s="14">
        <v>0.68039077051095032</v>
      </c>
      <c r="E1066" s="14">
        <v>24.410644358788311</v>
      </c>
      <c r="F1066" s="14">
        <v>100.47158524715577</v>
      </c>
      <c r="G1066" s="14">
        <v>206.81301068945794</v>
      </c>
      <c r="H1066" s="14">
        <v>253.25828316673523</v>
      </c>
      <c r="I1066" s="14">
        <v>254.77780442390372</v>
      </c>
      <c r="J1066" s="14">
        <v>255.95440675492037</v>
      </c>
    </row>
    <row r="1067" spans="1:10" ht="15.75" x14ac:dyDescent="0.5">
      <c r="A1067" s="13" t="s">
        <v>301</v>
      </c>
      <c r="B1067" s="13" t="s">
        <v>415</v>
      </c>
      <c r="C1067" s="13" t="s">
        <v>400</v>
      </c>
      <c r="D1067" s="14">
        <v>440.53124483255561</v>
      </c>
      <c r="E1067" s="14">
        <v>874.72938291532148</v>
      </c>
      <c r="F1067" s="14">
        <v>1401.375278028853</v>
      </c>
      <c r="G1067" s="14">
        <v>1603.6843400504567</v>
      </c>
      <c r="H1067" s="14">
        <v>2477.524320786898</v>
      </c>
      <c r="I1067" s="14">
        <v>3854.4848346363901</v>
      </c>
      <c r="J1067" s="14">
        <v>4058.3376666340132</v>
      </c>
    </row>
    <row r="1068" spans="1:10" ht="15.75" x14ac:dyDescent="0.5">
      <c r="A1068" s="13" t="s">
        <v>301</v>
      </c>
      <c r="B1068" s="13" t="s">
        <v>416</v>
      </c>
      <c r="C1068" s="13" t="s">
        <v>400</v>
      </c>
      <c r="D1068" s="14" t="s">
        <v>250</v>
      </c>
      <c r="E1068" s="14">
        <v>70.934498682900681</v>
      </c>
      <c r="F1068" s="14">
        <v>100.19546122793696</v>
      </c>
      <c r="G1068" s="14">
        <v>127.6934444772737</v>
      </c>
      <c r="H1068" s="14">
        <v>145.88323771792346</v>
      </c>
      <c r="I1068" s="14">
        <v>165.7790673137323</v>
      </c>
      <c r="J1068" s="14">
        <v>186.28657305490802</v>
      </c>
    </row>
    <row r="1069" spans="1:10" ht="15.75" x14ac:dyDescent="0.5">
      <c r="A1069" s="13" t="s">
        <v>301</v>
      </c>
      <c r="B1069" s="13" t="s">
        <v>417</v>
      </c>
      <c r="C1069" s="13" t="s">
        <v>400</v>
      </c>
      <c r="D1069" s="14">
        <v>187.48709633408691</v>
      </c>
      <c r="E1069" s="14">
        <v>298.27846840514019</v>
      </c>
      <c r="F1069" s="14">
        <v>339.94935565504693</v>
      </c>
      <c r="G1069" s="14">
        <v>1164.5278452629841</v>
      </c>
      <c r="H1069" s="14">
        <v>2877.903783249511</v>
      </c>
      <c r="I1069" s="14">
        <v>4492.0497073664037</v>
      </c>
      <c r="J1069" s="14">
        <v>4702.811656841297</v>
      </c>
    </row>
    <row r="1070" spans="1:10" ht="15.75" x14ac:dyDescent="0.5">
      <c r="A1070" s="13" t="s">
        <v>301</v>
      </c>
      <c r="B1070" s="13" t="s">
        <v>418</v>
      </c>
      <c r="C1070" s="13" t="s">
        <v>400</v>
      </c>
      <c r="D1070" s="14">
        <v>3.1841751731019534</v>
      </c>
      <c r="E1070" s="14">
        <v>3.1841751731019525</v>
      </c>
      <c r="F1070" s="14">
        <v>3.184175173101953</v>
      </c>
      <c r="G1070" s="14">
        <v>3.184175173101953</v>
      </c>
      <c r="H1070" s="14">
        <v>3.1841751731019534</v>
      </c>
      <c r="I1070" s="14">
        <v>3.1841751731019534</v>
      </c>
      <c r="J1070" s="14">
        <v>3.1841751731019534</v>
      </c>
    </row>
    <row r="1071" spans="1:10" ht="15.75" x14ac:dyDescent="0.5">
      <c r="A1071" s="13" t="s">
        <v>301</v>
      </c>
      <c r="B1071" s="13" t="s">
        <v>419</v>
      </c>
      <c r="C1071" s="13" t="s">
        <v>400</v>
      </c>
      <c r="D1071" s="14">
        <v>0.54465920264079504</v>
      </c>
      <c r="E1071" s="14">
        <v>10.994452448908328</v>
      </c>
      <c r="F1071" s="14">
        <v>93.86101111801392</v>
      </c>
      <c r="G1071" s="14">
        <v>295.15688916885438</v>
      </c>
      <c r="H1071" s="14">
        <v>1290.0960488163</v>
      </c>
      <c r="I1071" s="14">
        <v>2779.0144179838499</v>
      </c>
      <c r="J1071" s="14">
        <v>3298.8506093789815</v>
      </c>
    </row>
    <row r="1072" spans="1:10" ht="15.75" x14ac:dyDescent="0.5">
      <c r="A1072" s="13" t="s">
        <v>301</v>
      </c>
      <c r="B1072" s="13" t="s">
        <v>420</v>
      </c>
      <c r="C1072" s="13" t="s">
        <v>400</v>
      </c>
      <c r="D1072" s="14">
        <v>-13.987252957808433</v>
      </c>
      <c r="E1072" s="14">
        <v>-13.709968859304361</v>
      </c>
      <c r="F1072" s="14">
        <v>-14.016835618653463</v>
      </c>
      <c r="G1072" s="14">
        <v>-11.740624649141349</v>
      </c>
      <c r="H1072" s="14">
        <v>-13.732431546202189</v>
      </c>
      <c r="I1072" s="14">
        <v>-17.725937165010411</v>
      </c>
      <c r="J1072" s="14">
        <v>-22.726444640914849</v>
      </c>
    </row>
    <row r="1073" spans="1:10" ht="15.75" x14ac:dyDescent="0.5">
      <c r="A1073" s="13" t="s">
        <v>302</v>
      </c>
      <c r="B1073" s="13" t="s">
        <v>399</v>
      </c>
      <c r="C1073" s="13" t="s">
        <v>400</v>
      </c>
      <c r="D1073" s="14">
        <v>7.2499064625597889</v>
      </c>
      <c r="E1073" s="14">
        <v>4.2389343065693544E-2</v>
      </c>
      <c r="F1073" s="14">
        <v>0.51246000000000103</v>
      </c>
      <c r="G1073" s="14">
        <v>1.0860056653839669</v>
      </c>
      <c r="H1073" s="14">
        <v>0.85736644598256873</v>
      </c>
      <c r="I1073" s="14">
        <v>0.16015287591240907</v>
      </c>
      <c r="J1073" s="14">
        <v>1.4402511240875935</v>
      </c>
    </row>
    <row r="1074" spans="1:10" ht="15.75" x14ac:dyDescent="0.5">
      <c r="A1074" s="13" t="s">
        <v>302</v>
      </c>
      <c r="B1074" s="13" t="s">
        <v>401</v>
      </c>
      <c r="C1074" s="13" t="s">
        <v>400</v>
      </c>
      <c r="D1074" s="14" t="s">
        <v>250</v>
      </c>
      <c r="E1074" s="14" t="s">
        <v>250</v>
      </c>
      <c r="F1074" s="14">
        <v>138.44972800387865</v>
      </c>
      <c r="G1074" s="14">
        <v>138.44972800387862</v>
      </c>
      <c r="H1074" s="14">
        <v>5.4388121978151531</v>
      </c>
      <c r="I1074" s="14" t="s">
        <v>250</v>
      </c>
      <c r="J1074" s="14" t="s">
        <v>250</v>
      </c>
    </row>
    <row r="1075" spans="1:10" ht="15.75" x14ac:dyDescent="0.5">
      <c r="A1075" s="13" t="s">
        <v>302</v>
      </c>
      <c r="B1075" s="13" t="s">
        <v>402</v>
      </c>
      <c r="C1075" s="13" t="s">
        <v>400</v>
      </c>
      <c r="D1075" s="14">
        <v>1072.9916742877465</v>
      </c>
      <c r="E1075" s="14">
        <v>403.84936662561228</v>
      </c>
      <c r="F1075" s="14">
        <v>167.67342470563236</v>
      </c>
      <c r="G1075" s="14">
        <v>159.86413232451437</v>
      </c>
      <c r="H1075" s="14">
        <v>91.608891966036182</v>
      </c>
      <c r="I1075" s="14">
        <v>34.767054925137067</v>
      </c>
      <c r="J1075" s="14">
        <v>0.16241040000000032</v>
      </c>
    </row>
    <row r="1076" spans="1:10" ht="15.75" x14ac:dyDescent="0.5">
      <c r="A1076" s="13" t="s">
        <v>302</v>
      </c>
      <c r="B1076" s="13" t="s">
        <v>403</v>
      </c>
      <c r="C1076" s="13" t="s">
        <v>400</v>
      </c>
      <c r="D1076" s="14" t="s">
        <v>250</v>
      </c>
      <c r="E1076" s="14" t="s">
        <v>250</v>
      </c>
      <c r="F1076" s="14">
        <v>44.715961920187631</v>
      </c>
      <c r="G1076" s="14">
        <v>44.715961920187553</v>
      </c>
      <c r="H1076" s="14">
        <v>10.057842709147932</v>
      </c>
      <c r="I1076" s="14">
        <v>4.6679850000000105</v>
      </c>
      <c r="J1076" s="14" t="s">
        <v>250</v>
      </c>
    </row>
    <row r="1077" spans="1:10" ht="15.75" x14ac:dyDescent="0.5">
      <c r="A1077" s="13" t="s">
        <v>302</v>
      </c>
      <c r="B1077" s="13" t="s">
        <v>405</v>
      </c>
      <c r="C1077" s="13" t="s">
        <v>400</v>
      </c>
      <c r="D1077" s="14">
        <v>1259.3891290889944</v>
      </c>
      <c r="E1077" s="14">
        <v>1304.0903823614301</v>
      </c>
      <c r="F1077" s="14">
        <v>1320.0752154295112</v>
      </c>
      <c r="G1077" s="14">
        <v>1146.5613968801715</v>
      </c>
      <c r="H1077" s="14">
        <v>953.00185170532677</v>
      </c>
      <c r="I1077" s="14">
        <v>514.89473985196798</v>
      </c>
      <c r="J1077" s="14">
        <v>312.78479406381496</v>
      </c>
    </row>
    <row r="1078" spans="1:10" ht="15.75" x14ac:dyDescent="0.5">
      <c r="A1078" s="13" t="s">
        <v>302</v>
      </c>
      <c r="B1078" s="13" t="s">
        <v>406</v>
      </c>
      <c r="C1078" s="13" t="s">
        <v>400</v>
      </c>
      <c r="D1078" s="14">
        <v>23.479196814299328</v>
      </c>
      <c r="E1078" s="14">
        <v>22.657914617390663</v>
      </c>
      <c r="F1078" s="14">
        <v>42.94135176423012</v>
      </c>
      <c r="G1078" s="14">
        <v>41.055181079689305</v>
      </c>
      <c r="H1078" s="14">
        <v>37.707416090251513</v>
      </c>
      <c r="I1078" s="14">
        <v>32.282438591037078</v>
      </c>
      <c r="J1078" s="14">
        <v>24.27752815211948</v>
      </c>
    </row>
    <row r="1079" spans="1:10" ht="15.75" x14ac:dyDescent="0.5">
      <c r="A1079" s="13" t="s">
        <v>302</v>
      </c>
      <c r="B1079" s="13" t="s">
        <v>407</v>
      </c>
      <c r="C1079" s="13" t="s">
        <v>400</v>
      </c>
      <c r="D1079" s="14" t="s">
        <v>250</v>
      </c>
      <c r="E1079" s="14">
        <v>147.97019622019289</v>
      </c>
      <c r="F1079" s="14">
        <v>103.18112506148434</v>
      </c>
      <c r="G1079" s="14">
        <v>159.73603468029609</v>
      </c>
      <c r="H1079" s="14" t="s">
        <v>250</v>
      </c>
      <c r="I1079" s="14" t="s">
        <v>250</v>
      </c>
      <c r="J1079" s="14" t="s">
        <v>250</v>
      </c>
    </row>
    <row r="1080" spans="1:10" ht="15.75" x14ac:dyDescent="0.5">
      <c r="A1080" s="13" t="s">
        <v>302</v>
      </c>
      <c r="B1080" s="13" t="s">
        <v>408</v>
      </c>
      <c r="C1080" s="13" t="s">
        <v>400</v>
      </c>
      <c r="D1080" s="14">
        <v>46.892290321001219</v>
      </c>
      <c r="E1080" s="14">
        <v>34.931092646307043</v>
      </c>
      <c r="F1080" s="14">
        <v>30.389178752355914</v>
      </c>
      <c r="G1080" s="14">
        <v>46.138191283291278</v>
      </c>
      <c r="H1080" s="14">
        <v>41.878666184292342</v>
      </c>
      <c r="I1080" s="14">
        <v>29.525790215420148</v>
      </c>
      <c r="J1080" s="14">
        <v>27.580573177006254</v>
      </c>
    </row>
    <row r="1081" spans="1:10" ht="15.75" x14ac:dyDescent="0.5">
      <c r="A1081" s="13" t="s">
        <v>302</v>
      </c>
      <c r="B1081" s="13" t="s">
        <v>409</v>
      </c>
      <c r="C1081" s="13" t="s">
        <v>400</v>
      </c>
      <c r="D1081" s="14">
        <v>18.365704270000037</v>
      </c>
      <c r="E1081" s="14">
        <v>18.36570427000003</v>
      </c>
      <c r="F1081" s="14">
        <v>18.365704270000034</v>
      </c>
      <c r="G1081" s="14">
        <v>18.36570427000003</v>
      </c>
      <c r="H1081" s="14">
        <v>18.365704270000034</v>
      </c>
      <c r="I1081" s="14">
        <v>17.847651092161918</v>
      </c>
      <c r="J1081" s="14">
        <v>17.126684340920999</v>
      </c>
    </row>
    <row r="1082" spans="1:10" ht="15.75" x14ac:dyDescent="0.5">
      <c r="A1082" s="13" t="s">
        <v>302</v>
      </c>
      <c r="B1082" s="13" t="s">
        <v>410</v>
      </c>
      <c r="C1082" s="13" t="s">
        <v>400</v>
      </c>
      <c r="D1082" s="14">
        <v>245.79356253202209</v>
      </c>
      <c r="E1082" s="14">
        <v>244.71503671416167</v>
      </c>
      <c r="F1082" s="14">
        <v>246.14648567844208</v>
      </c>
      <c r="G1082" s="14">
        <v>246.16997594139036</v>
      </c>
      <c r="H1082" s="14">
        <v>246.16997594140645</v>
      </c>
      <c r="I1082" s="14">
        <v>246.16997594139102</v>
      </c>
      <c r="J1082" s="14">
        <v>245.75534936182896</v>
      </c>
    </row>
    <row r="1083" spans="1:10" ht="15.75" x14ac:dyDescent="0.5">
      <c r="A1083" s="13" t="s">
        <v>302</v>
      </c>
      <c r="B1083" s="13" t="s">
        <v>411</v>
      </c>
      <c r="C1083" s="13" t="s">
        <v>400</v>
      </c>
      <c r="D1083" s="14">
        <v>7.1394000000000162</v>
      </c>
      <c r="E1083" s="14">
        <v>6.1130494947267797</v>
      </c>
      <c r="F1083" s="14" t="s">
        <v>250</v>
      </c>
      <c r="G1083" s="14" t="s">
        <v>250</v>
      </c>
      <c r="H1083" s="14" t="s">
        <v>250</v>
      </c>
      <c r="I1083" s="14" t="s">
        <v>250</v>
      </c>
      <c r="J1083" s="14" t="s">
        <v>250</v>
      </c>
    </row>
    <row r="1084" spans="1:10" ht="15.75" x14ac:dyDescent="0.5">
      <c r="A1084" s="13" t="s">
        <v>302</v>
      </c>
      <c r="B1084" s="13" t="s">
        <v>412</v>
      </c>
      <c r="C1084" s="13" t="s">
        <v>400</v>
      </c>
      <c r="D1084" s="14">
        <v>760.72545968400175</v>
      </c>
      <c r="E1084" s="14">
        <v>749.51456133377678</v>
      </c>
      <c r="F1084" s="14">
        <v>632.71072153068292</v>
      </c>
      <c r="G1084" s="14">
        <v>679.14842981114919</v>
      </c>
      <c r="H1084" s="14">
        <v>235.00621139517082</v>
      </c>
      <c r="I1084" s="14">
        <v>32.096347907255293</v>
      </c>
      <c r="J1084" s="14">
        <v>202.13691974616623</v>
      </c>
    </row>
    <row r="1085" spans="1:10" ht="15.75" x14ac:dyDescent="0.5">
      <c r="A1085" s="13" t="s">
        <v>302</v>
      </c>
      <c r="B1085" s="13" t="s">
        <v>413</v>
      </c>
      <c r="C1085" s="13" t="s">
        <v>400</v>
      </c>
      <c r="D1085" s="14">
        <v>23.702927619886133</v>
      </c>
      <c r="E1085" s="14">
        <v>19.72162582690892</v>
      </c>
      <c r="F1085" s="14">
        <v>5.9526751957145976</v>
      </c>
      <c r="G1085" s="14">
        <v>3.2398522638710165</v>
      </c>
      <c r="H1085" s="14">
        <v>2.1060210874770808</v>
      </c>
      <c r="I1085" s="14">
        <v>0.98736076758075897</v>
      </c>
      <c r="J1085" s="14">
        <v>0.52566884671532921</v>
      </c>
    </row>
    <row r="1086" spans="1:10" ht="15.75" x14ac:dyDescent="0.5">
      <c r="A1086" s="13" t="s">
        <v>302</v>
      </c>
      <c r="B1086" s="13" t="s">
        <v>414</v>
      </c>
      <c r="C1086" s="13" t="s">
        <v>400</v>
      </c>
      <c r="D1086" s="14">
        <v>0.68039077051095009</v>
      </c>
      <c r="E1086" s="14">
        <v>24.418160832712633</v>
      </c>
      <c r="F1086" s="14">
        <v>100.49094215411382</v>
      </c>
      <c r="G1086" s="14">
        <v>206.80849127369643</v>
      </c>
      <c r="H1086" s="14">
        <v>253.25372325287248</v>
      </c>
      <c r="I1086" s="14">
        <v>254.77321435188048</v>
      </c>
      <c r="J1086" s="14">
        <v>255.94979341803057</v>
      </c>
    </row>
    <row r="1087" spans="1:10" ht="15.75" x14ac:dyDescent="0.5">
      <c r="A1087" s="13" t="s">
        <v>302</v>
      </c>
      <c r="B1087" s="13" t="s">
        <v>415</v>
      </c>
      <c r="C1087" s="13" t="s">
        <v>400</v>
      </c>
      <c r="D1087" s="14">
        <v>440.53124483255556</v>
      </c>
      <c r="E1087" s="14">
        <v>874.72938291532182</v>
      </c>
      <c r="F1087" s="14">
        <v>1401.714394061285</v>
      </c>
      <c r="G1087" s="14">
        <v>1602.9105316303735</v>
      </c>
      <c r="H1087" s="14">
        <v>2489.3471219383105</v>
      </c>
      <c r="I1087" s="14">
        <v>3825.580986473909</v>
      </c>
      <c r="J1087" s="14">
        <v>3915.9500900115381</v>
      </c>
    </row>
    <row r="1088" spans="1:10" ht="15.75" x14ac:dyDescent="0.5">
      <c r="A1088" s="13" t="s">
        <v>302</v>
      </c>
      <c r="B1088" s="13" t="s">
        <v>416</v>
      </c>
      <c r="C1088" s="13" t="s">
        <v>400</v>
      </c>
      <c r="D1088" s="14" t="s">
        <v>250</v>
      </c>
      <c r="E1088" s="14">
        <v>70.934498682900752</v>
      </c>
      <c r="F1088" s="14">
        <v>100.195461227937</v>
      </c>
      <c r="G1088" s="14">
        <v>127.69344447727376</v>
      </c>
      <c r="H1088" s="14">
        <v>145.88323771792352</v>
      </c>
      <c r="I1088" s="14">
        <v>165.77906731373233</v>
      </c>
      <c r="J1088" s="14">
        <v>186.2865730549081</v>
      </c>
    </row>
    <row r="1089" spans="1:10" ht="15.75" x14ac:dyDescent="0.5">
      <c r="A1089" s="13" t="s">
        <v>302</v>
      </c>
      <c r="B1089" s="13" t="s">
        <v>417</v>
      </c>
      <c r="C1089" s="13" t="s">
        <v>400</v>
      </c>
      <c r="D1089" s="14">
        <v>187.48709633408691</v>
      </c>
      <c r="E1089" s="14">
        <v>298.30786724466157</v>
      </c>
      <c r="F1089" s="14">
        <v>339.94935565504693</v>
      </c>
      <c r="G1089" s="14">
        <v>1164.0197346941727</v>
      </c>
      <c r="H1089" s="14">
        <v>2889.4683757330463</v>
      </c>
      <c r="I1089" s="14">
        <v>4387.2086366317899</v>
      </c>
      <c r="J1089" s="14">
        <v>4568.5618086200211</v>
      </c>
    </row>
    <row r="1090" spans="1:10" ht="15.75" x14ac:dyDescent="0.5">
      <c r="A1090" s="13" t="s">
        <v>302</v>
      </c>
      <c r="B1090" s="13" t="s">
        <v>418</v>
      </c>
      <c r="C1090" s="13" t="s">
        <v>400</v>
      </c>
      <c r="D1090" s="14">
        <v>3.1841751731019534</v>
      </c>
      <c r="E1090" s="14">
        <v>3.1841751731019539</v>
      </c>
      <c r="F1090" s="14">
        <v>3.184175173101953</v>
      </c>
      <c r="G1090" s="14">
        <v>3.1841751731019534</v>
      </c>
      <c r="H1090" s="14">
        <v>3.184175173101953</v>
      </c>
      <c r="I1090" s="14">
        <v>3.1841751731019534</v>
      </c>
      <c r="J1090" s="14">
        <v>3.1841751731019534</v>
      </c>
    </row>
    <row r="1091" spans="1:10" ht="15.75" x14ac:dyDescent="0.5">
      <c r="A1091" s="13" t="s">
        <v>302</v>
      </c>
      <c r="B1091" s="13" t="s">
        <v>419</v>
      </c>
      <c r="C1091" s="13" t="s">
        <v>400</v>
      </c>
      <c r="D1091" s="14">
        <v>0.54465920264079504</v>
      </c>
      <c r="E1091" s="14">
        <v>10.715908837556562</v>
      </c>
      <c r="F1091" s="14">
        <v>93.472605427539492</v>
      </c>
      <c r="G1091" s="14">
        <v>294.42664504228475</v>
      </c>
      <c r="H1091" s="14">
        <v>1293.0218967285318</v>
      </c>
      <c r="I1091" s="14">
        <v>2684.2037587204768</v>
      </c>
      <c r="J1091" s="14">
        <v>2971.6645807101149</v>
      </c>
    </row>
    <row r="1092" spans="1:10" ht="15.75" x14ac:dyDescent="0.5">
      <c r="A1092" s="13" t="s">
        <v>302</v>
      </c>
      <c r="B1092" s="13" t="s">
        <v>420</v>
      </c>
      <c r="C1092" s="13" t="s">
        <v>400</v>
      </c>
      <c r="D1092" s="14">
        <v>-13.987252957808371</v>
      </c>
      <c r="E1092" s="14">
        <v>-13.712978163394661</v>
      </c>
      <c r="F1092" s="14">
        <v>-13.936553697116537</v>
      </c>
      <c r="G1092" s="14">
        <v>-11.739536697569195</v>
      </c>
      <c r="H1092" s="14">
        <v>-13.767894770069905</v>
      </c>
      <c r="I1092" s="14">
        <v>-17.869201595883805</v>
      </c>
      <c r="J1092" s="14">
        <v>-21.785203822021238</v>
      </c>
    </row>
    <row r="1093" spans="1:10" ht="15.75" x14ac:dyDescent="0.5">
      <c r="A1093" s="13" t="s">
        <v>303</v>
      </c>
      <c r="B1093" s="13" t="s">
        <v>399</v>
      </c>
      <c r="C1093" s="13" t="s">
        <v>400</v>
      </c>
      <c r="D1093" s="14">
        <v>7.249906462559788</v>
      </c>
      <c r="E1093" s="14">
        <v>4.2389343065693544E-2</v>
      </c>
      <c r="F1093" s="14">
        <v>0.51246000000000114</v>
      </c>
      <c r="G1093" s="14">
        <v>1.0239803035625288</v>
      </c>
      <c r="H1093" s="14">
        <v>0.83281134857030592</v>
      </c>
      <c r="I1093" s="14">
        <v>0.14460087591240903</v>
      </c>
      <c r="J1093" s="14">
        <v>1.6974801459854039</v>
      </c>
    </row>
    <row r="1094" spans="1:10" ht="15.75" x14ac:dyDescent="0.5">
      <c r="A1094" s="13" t="s">
        <v>303</v>
      </c>
      <c r="B1094" s="13" t="s">
        <v>401</v>
      </c>
      <c r="C1094" s="13" t="s">
        <v>400</v>
      </c>
      <c r="D1094" s="14" t="s">
        <v>250</v>
      </c>
      <c r="E1094" s="14" t="s">
        <v>250</v>
      </c>
      <c r="F1094" s="14">
        <v>128.15396347066783</v>
      </c>
      <c r="G1094" s="14">
        <v>128.15396347066783</v>
      </c>
      <c r="H1094" s="14">
        <v>2.8251825431331521</v>
      </c>
      <c r="I1094" s="14" t="s">
        <v>250</v>
      </c>
      <c r="J1094" s="14" t="s">
        <v>250</v>
      </c>
    </row>
    <row r="1095" spans="1:10" ht="15.75" x14ac:dyDescent="0.5">
      <c r="A1095" s="13" t="s">
        <v>303</v>
      </c>
      <c r="B1095" s="13" t="s">
        <v>402</v>
      </c>
      <c r="C1095" s="13" t="s">
        <v>400</v>
      </c>
      <c r="D1095" s="14">
        <v>1072.991674287746</v>
      </c>
      <c r="E1095" s="14">
        <v>403.75774462831527</v>
      </c>
      <c r="F1095" s="14">
        <v>177.86405437744457</v>
      </c>
      <c r="G1095" s="14">
        <v>173.30896976336334</v>
      </c>
      <c r="H1095" s="14">
        <v>116.01439529015815</v>
      </c>
      <c r="I1095" s="14">
        <v>34.95282303208311</v>
      </c>
      <c r="J1095" s="14">
        <v>1.5242400000000026E-2</v>
      </c>
    </row>
    <row r="1096" spans="1:10" ht="15.75" x14ac:dyDescent="0.5">
      <c r="A1096" s="13" t="s">
        <v>303</v>
      </c>
      <c r="B1096" s="13" t="s">
        <v>403</v>
      </c>
      <c r="C1096" s="13" t="s">
        <v>400</v>
      </c>
      <c r="D1096" s="14" t="s">
        <v>250</v>
      </c>
      <c r="E1096" s="14" t="s">
        <v>250</v>
      </c>
      <c r="F1096" s="14">
        <v>45.441733691256701</v>
      </c>
      <c r="G1096" s="14">
        <v>45.441733691256687</v>
      </c>
      <c r="H1096" s="14">
        <v>9.1960417091711282</v>
      </c>
      <c r="I1096" s="14">
        <v>4.7636962997659547</v>
      </c>
      <c r="J1096" s="14" t="s">
        <v>250</v>
      </c>
    </row>
    <row r="1097" spans="1:10" ht="15.75" x14ac:dyDescent="0.5">
      <c r="A1097" s="13" t="s">
        <v>303</v>
      </c>
      <c r="B1097" s="13" t="s">
        <v>421</v>
      </c>
      <c r="C1097" s="13" t="s">
        <v>400</v>
      </c>
      <c r="D1097" s="14" t="s">
        <v>250</v>
      </c>
      <c r="E1097" s="14" t="s">
        <v>250</v>
      </c>
      <c r="F1097" s="14" t="s">
        <v>250</v>
      </c>
      <c r="G1097" s="14">
        <v>60.839663050538789</v>
      </c>
      <c r="H1097" s="14">
        <v>162.69287749284069</v>
      </c>
      <c r="I1097" s="14">
        <v>145.51270808559559</v>
      </c>
      <c r="J1097" s="14">
        <v>91.332180779538191</v>
      </c>
    </row>
    <row r="1098" spans="1:10" ht="15.75" x14ac:dyDescent="0.5">
      <c r="A1098" s="13" t="s">
        <v>303</v>
      </c>
      <c r="B1098" s="13" t="s">
        <v>405</v>
      </c>
      <c r="C1098" s="13" t="s">
        <v>400</v>
      </c>
      <c r="D1098" s="14">
        <v>1259.3891290889937</v>
      </c>
      <c r="E1098" s="14">
        <v>1304.6402432285633</v>
      </c>
      <c r="F1098" s="14">
        <v>1313.303949381886</v>
      </c>
      <c r="G1098" s="14">
        <v>1110.8100022870285</v>
      </c>
      <c r="H1098" s="14">
        <v>884.06385900648763</v>
      </c>
      <c r="I1098" s="14">
        <v>422.86354174184572</v>
      </c>
      <c r="J1098" s="14">
        <v>314.6503807090881</v>
      </c>
    </row>
    <row r="1099" spans="1:10" ht="15.75" x14ac:dyDescent="0.5">
      <c r="A1099" s="13" t="s">
        <v>303</v>
      </c>
      <c r="B1099" s="13" t="s">
        <v>406</v>
      </c>
      <c r="C1099" s="13" t="s">
        <v>400</v>
      </c>
      <c r="D1099" s="14">
        <v>23.479196814299332</v>
      </c>
      <c r="E1099" s="14">
        <v>23.201490757683157</v>
      </c>
      <c r="F1099" s="14">
        <v>43.254627385667725</v>
      </c>
      <c r="G1099" s="14">
        <v>41.231181767681129</v>
      </c>
      <c r="H1099" s="14">
        <v>36.756647361173748</v>
      </c>
      <c r="I1099" s="14">
        <v>32.229505972633604</v>
      </c>
      <c r="J1099" s="14">
        <v>23.586451140856621</v>
      </c>
    </row>
    <row r="1100" spans="1:10" ht="15.75" x14ac:dyDescent="0.5">
      <c r="A1100" s="13" t="s">
        <v>303</v>
      </c>
      <c r="B1100" s="13" t="s">
        <v>407</v>
      </c>
      <c r="C1100" s="13" t="s">
        <v>400</v>
      </c>
      <c r="D1100" s="14" t="s">
        <v>250</v>
      </c>
      <c r="E1100" s="14">
        <v>146.57052949134956</v>
      </c>
      <c r="F1100" s="14">
        <v>107.82845208809405</v>
      </c>
      <c r="G1100" s="14">
        <v>154.78662833650472</v>
      </c>
      <c r="H1100" s="14" t="s">
        <v>250</v>
      </c>
      <c r="I1100" s="14" t="s">
        <v>250</v>
      </c>
      <c r="J1100" s="14" t="s">
        <v>250</v>
      </c>
    </row>
    <row r="1101" spans="1:10" ht="15.75" x14ac:dyDescent="0.5">
      <c r="A1101" s="13" t="s">
        <v>303</v>
      </c>
      <c r="B1101" s="13" t="s">
        <v>408</v>
      </c>
      <c r="C1101" s="13" t="s">
        <v>400</v>
      </c>
      <c r="D1101" s="14">
        <v>46.892290321001227</v>
      </c>
      <c r="E1101" s="14">
        <v>34.965775473387609</v>
      </c>
      <c r="F1101" s="14">
        <v>30.305668090688783</v>
      </c>
      <c r="G1101" s="14">
        <v>46.166102345371137</v>
      </c>
      <c r="H1101" s="14">
        <v>41.018620289699598</v>
      </c>
      <c r="I1101" s="14">
        <v>27.060625983365433</v>
      </c>
      <c r="J1101" s="14">
        <v>29.177950638842066</v>
      </c>
    </row>
    <row r="1102" spans="1:10" ht="15.75" x14ac:dyDescent="0.5">
      <c r="A1102" s="13" t="s">
        <v>303</v>
      </c>
      <c r="B1102" s="13" t="s">
        <v>409</v>
      </c>
      <c r="C1102" s="13" t="s">
        <v>400</v>
      </c>
      <c r="D1102" s="14">
        <v>18.36570427000003</v>
      </c>
      <c r="E1102" s="14">
        <v>18.365704270000034</v>
      </c>
      <c r="F1102" s="14">
        <v>18.365704270000034</v>
      </c>
      <c r="G1102" s="14">
        <v>18.36570427000003</v>
      </c>
      <c r="H1102" s="14">
        <v>18.36570427000003</v>
      </c>
      <c r="I1102" s="14">
        <v>17.76674707774476</v>
      </c>
      <c r="J1102" s="14">
        <v>17.208160082905138</v>
      </c>
    </row>
    <row r="1103" spans="1:10" ht="15.75" x14ac:dyDescent="0.5">
      <c r="A1103" s="13" t="s">
        <v>303</v>
      </c>
      <c r="B1103" s="13" t="s">
        <v>410</v>
      </c>
      <c r="C1103" s="13" t="s">
        <v>400</v>
      </c>
      <c r="D1103" s="14">
        <v>245.79356253202209</v>
      </c>
      <c r="E1103" s="14">
        <v>244.68789646276804</v>
      </c>
      <c r="F1103" s="14">
        <v>246.14648567844159</v>
      </c>
      <c r="G1103" s="14">
        <v>246.16997594136367</v>
      </c>
      <c r="H1103" s="14">
        <v>246.16997594092965</v>
      </c>
      <c r="I1103" s="14">
        <v>246.16997594139099</v>
      </c>
      <c r="J1103" s="14">
        <v>245.6703809697452</v>
      </c>
    </row>
    <row r="1104" spans="1:10" ht="15.75" x14ac:dyDescent="0.5">
      <c r="A1104" s="13" t="s">
        <v>303</v>
      </c>
      <c r="B1104" s="13" t="s">
        <v>411</v>
      </c>
      <c r="C1104" s="13" t="s">
        <v>400</v>
      </c>
      <c r="D1104" s="14">
        <v>7.1394000000000162</v>
      </c>
      <c r="E1104" s="14">
        <v>6.2615868019096119</v>
      </c>
      <c r="F1104" s="14" t="s">
        <v>250</v>
      </c>
      <c r="G1104" s="14" t="s">
        <v>250</v>
      </c>
      <c r="H1104" s="14" t="s">
        <v>250</v>
      </c>
      <c r="I1104" s="14" t="s">
        <v>250</v>
      </c>
      <c r="J1104" s="14" t="s">
        <v>250</v>
      </c>
    </row>
    <row r="1105" spans="1:10" ht="15.75" x14ac:dyDescent="0.5">
      <c r="A1105" s="13" t="s">
        <v>303</v>
      </c>
      <c r="B1105" s="13" t="s">
        <v>412</v>
      </c>
      <c r="C1105" s="13" t="s">
        <v>400</v>
      </c>
      <c r="D1105" s="14">
        <v>760.72545968400186</v>
      </c>
      <c r="E1105" s="14">
        <v>749.42143388297916</v>
      </c>
      <c r="F1105" s="14">
        <v>634.19922551542618</v>
      </c>
      <c r="G1105" s="14">
        <v>680.04529545208618</v>
      </c>
      <c r="H1105" s="14">
        <v>209.63635249177364</v>
      </c>
      <c r="I1105" s="14">
        <v>15.075081998462078</v>
      </c>
      <c r="J1105" s="14">
        <v>22.215006152213334</v>
      </c>
    </row>
    <row r="1106" spans="1:10" ht="15.75" x14ac:dyDescent="0.5">
      <c r="A1106" s="13" t="s">
        <v>303</v>
      </c>
      <c r="B1106" s="13" t="s">
        <v>413</v>
      </c>
      <c r="C1106" s="13" t="s">
        <v>400</v>
      </c>
      <c r="D1106" s="14">
        <v>23.70292761988614</v>
      </c>
      <c r="E1106" s="14">
        <v>19.953812049810253</v>
      </c>
      <c r="F1106" s="14">
        <v>6.2995936070921363</v>
      </c>
      <c r="G1106" s="14">
        <v>3.1432101900549694</v>
      </c>
      <c r="H1106" s="14">
        <v>1.7015343324680585</v>
      </c>
      <c r="I1106" s="14">
        <v>1.1037429377947632</v>
      </c>
      <c r="J1106" s="14">
        <v>0.55713423096565107</v>
      </c>
    </row>
    <row r="1107" spans="1:10" ht="15.75" x14ac:dyDescent="0.5">
      <c r="A1107" s="13" t="s">
        <v>303</v>
      </c>
      <c r="B1107" s="13" t="s">
        <v>414</v>
      </c>
      <c r="C1107" s="13" t="s">
        <v>400</v>
      </c>
      <c r="D1107" s="14">
        <v>0.6803907705109502</v>
      </c>
      <c r="E1107" s="14">
        <v>24.410644358788311</v>
      </c>
      <c r="F1107" s="14">
        <v>100.47310602750348</v>
      </c>
      <c r="G1107" s="14">
        <v>206.81719602670017</v>
      </c>
      <c r="H1107" s="14">
        <v>253.26250600842937</v>
      </c>
      <c r="I1107" s="14">
        <v>254.78205519444501</v>
      </c>
      <c r="J1107" s="14">
        <v>255.95867907057243</v>
      </c>
    </row>
    <row r="1108" spans="1:10" ht="15.75" x14ac:dyDescent="0.5">
      <c r="A1108" s="13" t="s">
        <v>303</v>
      </c>
      <c r="B1108" s="13" t="s">
        <v>415</v>
      </c>
      <c r="C1108" s="13" t="s">
        <v>400</v>
      </c>
      <c r="D1108" s="14">
        <v>440.53124483255567</v>
      </c>
      <c r="E1108" s="14">
        <v>874.72938291532148</v>
      </c>
      <c r="F1108" s="14">
        <v>1401.070155921471</v>
      </c>
      <c r="G1108" s="14">
        <v>1585.1594557119713</v>
      </c>
      <c r="H1108" s="14">
        <v>2438.5658637071201</v>
      </c>
      <c r="I1108" s="14">
        <v>3811.7292627084507</v>
      </c>
      <c r="J1108" s="14">
        <v>3981.6077027121464</v>
      </c>
    </row>
    <row r="1109" spans="1:10" ht="15.75" x14ac:dyDescent="0.5">
      <c r="A1109" s="13" t="s">
        <v>303</v>
      </c>
      <c r="B1109" s="13" t="s">
        <v>416</v>
      </c>
      <c r="C1109" s="13" t="s">
        <v>400</v>
      </c>
      <c r="D1109" s="14" t="s">
        <v>250</v>
      </c>
      <c r="E1109" s="14">
        <v>70.934498682900696</v>
      </c>
      <c r="F1109" s="14">
        <v>100.19546122793695</v>
      </c>
      <c r="G1109" s="14">
        <v>127.69344447727374</v>
      </c>
      <c r="H1109" s="14">
        <v>145.88323771792341</v>
      </c>
      <c r="I1109" s="14">
        <v>165.77906731373224</v>
      </c>
      <c r="J1109" s="14">
        <v>186.28657305490788</v>
      </c>
    </row>
    <row r="1110" spans="1:10" ht="15.75" x14ac:dyDescent="0.5">
      <c r="A1110" s="13" t="s">
        <v>303</v>
      </c>
      <c r="B1110" s="13" t="s">
        <v>417</v>
      </c>
      <c r="C1110" s="13" t="s">
        <v>400</v>
      </c>
      <c r="D1110" s="14">
        <v>187.48709633408689</v>
      </c>
      <c r="E1110" s="14">
        <v>298.30786724466162</v>
      </c>
      <c r="F1110" s="14">
        <v>339.67377429035622</v>
      </c>
      <c r="G1110" s="14">
        <v>1156.7322337884516</v>
      </c>
      <c r="H1110" s="14">
        <v>2848.4501790681516</v>
      </c>
      <c r="I1110" s="14">
        <v>4418.9049356184869</v>
      </c>
      <c r="J1110" s="14">
        <v>4621.3433516099822</v>
      </c>
    </row>
    <row r="1111" spans="1:10" ht="15.75" x14ac:dyDescent="0.5">
      <c r="A1111" s="13" t="s">
        <v>303</v>
      </c>
      <c r="B1111" s="13" t="s">
        <v>418</v>
      </c>
      <c r="C1111" s="13" t="s">
        <v>400</v>
      </c>
      <c r="D1111" s="14">
        <v>3.1841751731019539</v>
      </c>
      <c r="E1111" s="14">
        <v>3.1841751731019525</v>
      </c>
      <c r="F1111" s="14">
        <v>3.184175173101953</v>
      </c>
      <c r="G1111" s="14">
        <v>3.1841751731019534</v>
      </c>
      <c r="H1111" s="14">
        <v>3.1841751731019534</v>
      </c>
      <c r="I1111" s="14">
        <v>3.1841751731019534</v>
      </c>
      <c r="J1111" s="14">
        <v>3.184175173101953</v>
      </c>
    </row>
    <row r="1112" spans="1:10" ht="15.75" x14ac:dyDescent="0.5">
      <c r="A1112" s="13" t="s">
        <v>303</v>
      </c>
      <c r="B1112" s="13" t="s">
        <v>419</v>
      </c>
      <c r="C1112" s="13" t="s">
        <v>400</v>
      </c>
      <c r="D1112" s="14">
        <v>0.54465920264079504</v>
      </c>
      <c r="E1112" s="14">
        <v>10.551895500630939</v>
      </c>
      <c r="F1112" s="14">
        <v>94.559972262182328</v>
      </c>
      <c r="G1112" s="14">
        <v>286.01685122163309</v>
      </c>
      <c r="H1112" s="14">
        <v>1210.4959155561914</v>
      </c>
      <c r="I1112" s="14">
        <v>2664.0384539610181</v>
      </c>
      <c r="J1112" s="14">
        <v>3119.8429611595047</v>
      </c>
    </row>
    <row r="1113" spans="1:10" ht="15.75" x14ac:dyDescent="0.5">
      <c r="A1113" s="13" t="s">
        <v>303</v>
      </c>
      <c r="B1113" s="13" t="s">
        <v>420</v>
      </c>
      <c r="C1113" s="13" t="s">
        <v>400</v>
      </c>
      <c r="D1113" s="14">
        <v>-13.987252957808403</v>
      </c>
      <c r="E1113" s="14">
        <v>-13.562352145014255</v>
      </c>
      <c r="F1113" s="14">
        <v>-13.758097623955965</v>
      </c>
      <c r="G1113" s="14">
        <v>-11.619289954826888</v>
      </c>
      <c r="H1113" s="14">
        <v>-14.099060668469271</v>
      </c>
      <c r="I1113" s="14">
        <v>-17.763541569946597</v>
      </c>
      <c r="J1113" s="14">
        <v>-22.199929530492561</v>
      </c>
    </row>
    <row r="1114" spans="1:10" ht="15.75" x14ac:dyDescent="0.5">
      <c r="A1114" s="13" t="s">
        <v>304</v>
      </c>
      <c r="B1114" s="13" t="s">
        <v>399</v>
      </c>
      <c r="C1114" s="13" t="s">
        <v>400</v>
      </c>
      <c r="D1114" s="14">
        <v>7.2499064625597889</v>
      </c>
      <c r="E1114" s="14">
        <v>4.2389343065693544E-2</v>
      </c>
      <c r="F1114" s="14">
        <v>0.51246000000000103</v>
      </c>
      <c r="G1114" s="14">
        <v>1.0239797006238274</v>
      </c>
      <c r="H1114" s="14">
        <v>0.83281135031528319</v>
      </c>
      <c r="I1114" s="14">
        <v>0.14460087591240905</v>
      </c>
      <c r="J1114" s="14">
        <v>1.6974801459854043</v>
      </c>
    </row>
    <row r="1115" spans="1:10" ht="15.75" x14ac:dyDescent="0.5">
      <c r="A1115" s="13" t="s">
        <v>304</v>
      </c>
      <c r="B1115" s="13" t="s">
        <v>401</v>
      </c>
      <c r="C1115" s="13" t="s">
        <v>400</v>
      </c>
      <c r="D1115" s="14" t="s">
        <v>250</v>
      </c>
      <c r="E1115" s="14" t="s">
        <v>250</v>
      </c>
      <c r="F1115" s="14">
        <v>128.1539807858212</v>
      </c>
      <c r="G1115" s="14">
        <v>128.15398078582118</v>
      </c>
      <c r="H1115" s="14">
        <v>2.8251822446610553</v>
      </c>
      <c r="I1115" s="14" t="s">
        <v>250</v>
      </c>
      <c r="J1115" s="14" t="s">
        <v>250</v>
      </c>
    </row>
    <row r="1116" spans="1:10" ht="15.75" x14ac:dyDescent="0.5">
      <c r="A1116" s="13" t="s">
        <v>304</v>
      </c>
      <c r="B1116" s="13" t="s">
        <v>402</v>
      </c>
      <c r="C1116" s="13" t="s">
        <v>400</v>
      </c>
      <c r="D1116" s="14">
        <v>1072.9916742877465</v>
      </c>
      <c r="E1116" s="14">
        <v>403.75774517262505</v>
      </c>
      <c r="F1116" s="14">
        <v>177.86404069274073</v>
      </c>
      <c r="G1116" s="14">
        <v>173.3089694032451</v>
      </c>
      <c r="H1116" s="14">
        <v>116.01439888794864</v>
      </c>
      <c r="I1116" s="14">
        <v>34.952821669432446</v>
      </c>
      <c r="J1116" s="14">
        <v>1.5242400000000026E-2</v>
      </c>
    </row>
    <row r="1117" spans="1:10" ht="15.75" x14ac:dyDescent="0.5">
      <c r="A1117" s="13" t="s">
        <v>304</v>
      </c>
      <c r="B1117" s="13" t="s">
        <v>403</v>
      </c>
      <c r="C1117" s="13" t="s">
        <v>400</v>
      </c>
      <c r="D1117" s="14" t="s">
        <v>250</v>
      </c>
      <c r="E1117" s="14" t="s">
        <v>250</v>
      </c>
      <c r="F1117" s="14">
        <v>45.44173369125668</v>
      </c>
      <c r="G1117" s="14">
        <v>45.44173369125668</v>
      </c>
      <c r="H1117" s="14">
        <v>9.1960417091711246</v>
      </c>
      <c r="I1117" s="14">
        <v>4.7636958024310125</v>
      </c>
      <c r="J1117" s="14" t="s">
        <v>250</v>
      </c>
    </row>
    <row r="1118" spans="1:10" ht="15.75" x14ac:dyDescent="0.5">
      <c r="A1118" s="13" t="s">
        <v>304</v>
      </c>
      <c r="B1118" s="13" t="s">
        <v>421</v>
      </c>
      <c r="C1118" s="13" t="s">
        <v>400</v>
      </c>
      <c r="D1118" s="14" t="s">
        <v>250</v>
      </c>
      <c r="E1118" s="14" t="s">
        <v>250</v>
      </c>
      <c r="F1118" s="14" t="s">
        <v>250</v>
      </c>
      <c r="G1118" s="14">
        <v>60.839660604662043</v>
      </c>
      <c r="H1118" s="14">
        <v>162.69287079621904</v>
      </c>
      <c r="I1118" s="14">
        <v>145.51270291349118</v>
      </c>
      <c r="J1118" s="14">
        <v>91.332175194841966</v>
      </c>
    </row>
    <row r="1119" spans="1:10" ht="15.75" x14ac:dyDescent="0.5">
      <c r="A1119" s="13" t="s">
        <v>304</v>
      </c>
      <c r="B1119" s="13" t="s">
        <v>405</v>
      </c>
      <c r="C1119" s="13" t="s">
        <v>400</v>
      </c>
      <c r="D1119" s="14">
        <v>1259.3891290889949</v>
      </c>
      <c r="E1119" s="14">
        <v>1304.6402413357969</v>
      </c>
      <c r="F1119" s="14">
        <v>1313.3039479421127</v>
      </c>
      <c r="G1119" s="14">
        <v>1110.8099936005228</v>
      </c>
      <c r="H1119" s="14">
        <v>884.0638537823562</v>
      </c>
      <c r="I1119" s="14">
        <v>422.86353780773976</v>
      </c>
      <c r="J1119" s="14">
        <v>314.65038111016457</v>
      </c>
    </row>
    <row r="1120" spans="1:10" ht="15.75" x14ac:dyDescent="0.5">
      <c r="A1120" s="13" t="s">
        <v>304</v>
      </c>
      <c r="B1120" s="13" t="s">
        <v>406</v>
      </c>
      <c r="C1120" s="13" t="s">
        <v>400</v>
      </c>
      <c r="D1120" s="14">
        <v>23.479196814299335</v>
      </c>
      <c r="E1120" s="14">
        <v>23.201491617443466</v>
      </c>
      <c r="F1120" s="14">
        <v>43.254627425489062</v>
      </c>
      <c r="G1120" s="14">
        <v>41.23118174037949</v>
      </c>
      <c r="H1120" s="14">
        <v>36.756647357047051</v>
      </c>
      <c r="I1120" s="14">
        <v>32.229505840430299</v>
      </c>
      <c r="J1120" s="14">
        <v>23.586451208256097</v>
      </c>
    </row>
    <row r="1121" spans="1:10" ht="15.75" x14ac:dyDescent="0.5">
      <c r="A1121" s="13" t="s">
        <v>304</v>
      </c>
      <c r="B1121" s="13" t="s">
        <v>407</v>
      </c>
      <c r="C1121" s="13" t="s">
        <v>400</v>
      </c>
      <c r="D1121" s="14" t="s">
        <v>250</v>
      </c>
      <c r="E1121" s="14">
        <v>146.57053008807696</v>
      </c>
      <c r="F1121" s="14">
        <v>107.82845790629918</v>
      </c>
      <c r="G1121" s="14">
        <v>154.78662006820986</v>
      </c>
      <c r="H1121" s="14" t="s">
        <v>250</v>
      </c>
      <c r="I1121" s="14" t="s">
        <v>250</v>
      </c>
      <c r="J1121" s="14" t="s">
        <v>250</v>
      </c>
    </row>
    <row r="1122" spans="1:10" ht="15.75" x14ac:dyDescent="0.5">
      <c r="A1122" s="13" t="s">
        <v>304</v>
      </c>
      <c r="B1122" s="13" t="s">
        <v>408</v>
      </c>
      <c r="C1122" s="13" t="s">
        <v>400</v>
      </c>
      <c r="D1122" s="14">
        <v>46.892290321001248</v>
      </c>
      <c r="E1122" s="14">
        <v>34.965775473387602</v>
      </c>
      <c r="F1122" s="14">
        <v>30.305668164227281</v>
      </c>
      <c r="G1122" s="14">
        <v>46.166101198455394</v>
      </c>
      <c r="H1122" s="14">
        <v>41.018622204997484</v>
      </c>
      <c r="I1122" s="14">
        <v>27.060625958004021</v>
      </c>
      <c r="J1122" s="14">
        <v>29.177949944837113</v>
      </c>
    </row>
    <row r="1123" spans="1:10" ht="15.75" x14ac:dyDescent="0.5">
      <c r="A1123" s="13" t="s">
        <v>304</v>
      </c>
      <c r="B1123" s="13" t="s">
        <v>409</v>
      </c>
      <c r="C1123" s="13" t="s">
        <v>400</v>
      </c>
      <c r="D1123" s="14">
        <v>18.365704270000034</v>
      </c>
      <c r="E1123" s="14">
        <v>18.365704270000034</v>
      </c>
      <c r="F1123" s="14">
        <v>18.36570427000003</v>
      </c>
      <c r="G1123" s="14">
        <v>18.365704270000034</v>
      </c>
      <c r="H1123" s="14">
        <v>18.36570427000003</v>
      </c>
      <c r="I1123" s="14">
        <v>17.766747196275897</v>
      </c>
      <c r="J1123" s="14">
        <v>17.208160082905142</v>
      </c>
    </row>
    <row r="1124" spans="1:10" ht="15.75" x14ac:dyDescent="0.5">
      <c r="A1124" s="13" t="s">
        <v>304</v>
      </c>
      <c r="B1124" s="13" t="s">
        <v>410</v>
      </c>
      <c r="C1124" s="13" t="s">
        <v>400</v>
      </c>
      <c r="D1124" s="14">
        <v>245.79356253202212</v>
      </c>
      <c r="E1124" s="14">
        <v>244.68789665499563</v>
      </c>
      <c r="F1124" s="14">
        <v>246.14648567844205</v>
      </c>
      <c r="G1124" s="14">
        <v>246.16997594137544</v>
      </c>
      <c r="H1124" s="14">
        <v>246.16997594136674</v>
      </c>
      <c r="I1124" s="14">
        <v>246.16997594139099</v>
      </c>
      <c r="J1124" s="14">
        <v>245.67038096970603</v>
      </c>
    </row>
    <row r="1125" spans="1:10" ht="15.75" x14ac:dyDescent="0.5">
      <c r="A1125" s="13" t="s">
        <v>304</v>
      </c>
      <c r="B1125" s="13" t="s">
        <v>411</v>
      </c>
      <c r="C1125" s="13" t="s">
        <v>400</v>
      </c>
      <c r="D1125" s="14">
        <v>7.1394000000000144</v>
      </c>
      <c r="E1125" s="14">
        <v>6.2615876681756903</v>
      </c>
      <c r="F1125" s="14" t="s">
        <v>250</v>
      </c>
      <c r="G1125" s="14" t="s">
        <v>250</v>
      </c>
      <c r="H1125" s="14" t="s">
        <v>250</v>
      </c>
      <c r="I1125" s="14" t="s">
        <v>250</v>
      </c>
      <c r="J1125" s="14" t="s">
        <v>250</v>
      </c>
    </row>
    <row r="1126" spans="1:10" ht="15.75" x14ac:dyDescent="0.5">
      <c r="A1126" s="13" t="s">
        <v>304</v>
      </c>
      <c r="B1126" s="13" t="s">
        <v>412</v>
      </c>
      <c r="C1126" s="13" t="s">
        <v>400</v>
      </c>
      <c r="D1126" s="14">
        <v>760.72545968400163</v>
      </c>
      <c r="E1126" s="14">
        <v>749.4214332246421</v>
      </c>
      <c r="F1126" s="14">
        <v>634.19922964538455</v>
      </c>
      <c r="G1126" s="14">
        <v>680.04529611483281</v>
      </c>
      <c r="H1126" s="14">
        <v>209.63626843969556</v>
      </c>
      <c r="I1126" s="14">
        <v>15.075085735485906</v>
      </c>
      <c r="J1126" s="14">
        <v>22.215012751609056</v>
      </c>
    </row>
    <row r="1127" spans="1:10" ht="15.75" x14ac:dyDescent="0.5">
      <c r="A1127" s="13" t="s">
        <v>304</v>
      </c>
      <c r="B1127" s="13" t="s">
        <v>413</v>
      </c>
      <c r="C1127" s="13" t="s">
        <v>400</v>
      </c>
      <c r="D1127" s="14">
        <v>23.70292761988614</v>
      </c>
      <c r="E1127" s="14">
        <v>19.953812015780546</v>
      </c>
      <c r="F1127" s="14">
        <v>6.2995937934020922</v>
      </c>
      <c r="G1127" s="14">
        <v>3.1432098790816037</v>
      </c>
      <c r="H1127" s="14">
        <v>1.7015341481910073</v>
      </c>
      <c r="I1127" s="14">
        <v>1.1037444268130239</v>
      </c>
      <c r="J1127" s="14">
        <v>0.55713460000543513</v>
      </c>
    </row>
    <row r="1128" spans="1:10" ht="15.75" x14ac:dyDescent="0.5">
      <c r="A1128" s="13" t="s">
        <v>304</v>
      </c>
      <c r="B1128" s="13" t="s">
        <v>414</v>
      </c>
      <c r="C1128" s="13" t="s">
        <v>400</v>
      </c>
      <c r="D1128" s="14">
        <v>0.68039077051095032</v>
      </c>
      <c r="E1128" s="14">
        <v>24.410644358788311</v>
      </c>
      <c r="F1128" s="14">
        <v>100.47310603138052</v>
      </c>
      <c r="G1128" s="14">
        <v>206.81719603737005</v>
      </c>
      <c r="H1128" s="14">
        <v>253.26250601919486</v>
      </c>
      <c r="I1128" s="14">
        <v>254.78205520528164</v>
      </c>
      <c r="J1128" s="14">
        <v>255.95867908146408</v>
      </c>
    </row>
    <row r="1129" spans="1:10" ht="15.75" x14ac:dyDescent="0.5">
      <c r="A1129" s="13" t="s">
        <v>304</v>
      </c>
      <c r="B1129" s="13" t="s">
        <v>415</v>
      </c>
      <c r="C1129" s="13" t="s">
        <v>400</v>
      </c>
      <c r="D1129" s="14">
        <v>440.53124483255567</v>
      </c>
      <c r="E1129" s="14">
        <v>874.72938291532171</v>
      </c>
      <c r="F1129" s="14">
        <v>1401.0701387831261</v>
      </c>
      <c r="G1129" s="14">
        <v>1585.1594432237032</v>
      </c>
      <c r="H1129" s="14">
        <v>2438.5658998460713</v>
      </c>
      <c r="I1129" s="14">
        <v>3811.7292839627962</v>
      </c>
      <c r="J1129" s="14">
        <v>3981.6077264259029</v>
      </c>
    </row>
    <row r="1130" spans="1:10" ht="15.75" x14ac:dyDescent="0.5">
      <c r="A1130" s="13" t="s">
        <v>304</v>
      </c>
      <c r="B1130" s="13" t="s">
        <v>416</v>
      </c>
      <c r="C1130" s="13" t="s">
        <v>400</v>
      </c>
      <c r="D1130" s="14" t="s">
        <v>250</v>
      </c>
      <c r="E1130" s="14">
        <v>70.934498682900767</v>
      </c>
      <c r="F1130" s="14">
        <v>100.19546122793707</v>
      </c>
      <c r="G1130" s="14">
        <v>127.69344447727376</v>
      </c>
      <c r="H1130" s="14">
        <v>145.88323771792341</v>
      </c>
      <c r="I1130" s="14">
        <v>165.77906731373221</v>
      </c>
      <c r="J1130" s="14">
        <v>186.28657305490802</v>
      </c>
    </row>
    <row r="1131" spans="1:10" ht="15.75" x14ac:dyDescent="0.5">
      <c r="A1131" s="13" t="s">
        <v>304</v>
      </c>
      <c r="B1131" s="13" t="s">
        <v>417</v>
      </c>
      <c r="C1131" s="13" t="s">
        <v>400</v>
      </c>
      <c r="D1131" s="14">
        <v>187.48709633408689</v>
      </c>
      <c r="E1131" s="14">
        <v>298.30786724466151</v>
      </c>
      <c r="F1131" s="14">
        <v>339.67377278075315</v>
      </c>
      <c r="G1131" s="14">
        <v>1156.7322529842199</v>
      </c>
      <c r="H1131" s="14">
        <v>2848.4502762267143</v>
      </c>
      <c r="I1131" s="14">
        <v>4418.9049550884665</v>
      </c>
      <c r="J1131" s="14">
        <v>4621.3433442709111</v>
      </c>
    </row>
    <row r="1132" spans="1:10" ht="15.75" x14ac:dyDescent="0.5">
      <c r="A1132" s="13" t="s">
        <v>304</v>
      </c>
      <c r="B1132" s="13" t="s">
        <v>418</v>
      </c>
      <c r="C1132" s="13" t="s">
        <v>400</v>
      </c>
      <c r="D1132" s="14">
        <v>3.184175173101953</v>
      </c>
      <c r="E1132" s="14">
        <v>3.184175173101953</v>
      </c>
      <c r="F1132" s="14">
        <v>3.1841751731019539</v>
      </c>
      <c r="G1132" s="14">
        <v>3.184175173101953</v>
      </c>
      <c r="H1132" s="14">
        <v>3.184175173101953</v>
      </c>
      <c r="I1132" s="14">
        <v>3.1841751731019534</v>
      </c>
      <c r="J1132" s="14">
        <v>3.1841751731019534</v>
      </c>
    </row>
    <row r="1133" spans="1:10" ht="15.75" x14ac:dyDescent="0.5">
      <c r="A1133" s="13" t="s">
        <v>304</v>
      </c>
      <c r="B1133" s="13" t="s">
        <v>419</v>
      </c>
      <c r="C1133" s="13" t="s">
        <v>400</v>
      </c>
      <c r="D1133" s="14">
        <v>0.54465920264079493</v>
      </c>
      <c r="E1133" s="14">
        <v>10.551898805234934</v>
      </c>
      <c r="F1133" s="14">
        <v>94.537329290144399</v>
      </c>
      <c r="G1133" s="14">
        <v>285.98792324888552</v>
      </c>
      <c r="H1133" s="14">
        <v>1210.4959189964909</v>
      </c>
      <c r="I1133" s="14">
        <v>2664.0565739795134</v>
      </c>
      <c r="J1133" s="14">
        <v>3120.9962912275123</v>
      </c>
    </row>
    <row r="1134" spans="1:10" ht="15.75" x14ac:dyDescent="0.5">
      <c r="A1134" s="13" t="s">
        <v>304</v>
      </c>
      <c r="B1134" s="13" t="s">
        <v>420</v>
      </c>
      <c r="C1134" s="13" t="s">
        <v>400</v>
      </c>
      <c r="D1134" s="14">
        <v>-13.987252957808376</v>
      </c>
      <c r="E1134" s="14">
        <v>-13.562352155963612</v>
      </c>
      <c r="F1134" s="14">
        <v>-13.756571172493995</v>
      </c>
      <c r="G1134" s="14">
        <v>-11.619434311757653</v>
      </c>
      <c r="H1134" s="14">
        <v>-14.100939689864783</v>
      </c>
      <c r="I1134" s="14">
        <v>-17.761271846522831</v>
      </c>
      <c r="J1134" s="14">
        <v>-22.175115062286871</v>
      </c>
    </row>
    <row r="1135" spans="1:10" ht="15.75" x14ac:dyDescent="0.5">
      <c r="A1135" s="13" t="s">
        <v>305</v>
      </c>
      <c r="B1135" s="13" t="s">
        <v>399</v>
      </c>
      <c r="C1135" s="13" t="s">
        <v>400</v>
      </c>
      <c r="D1135" s="14">
        <v>7.2499064625597898</v>
      </c>
      <c r="E1135" s="14">
        <v>4.2389343065693544E-2</v>
      </c>
      <c r="F1135" s="14">
        <v>0.51246000000000125</v>
      </c>
      <c r="G1135" s="14">
        <v>1.0709216653839673</v>
      </c>
      <c r="H1135" s="14">
        <v>0.82083634379278747</v>
      </c>
      <c r="I1135" s="14">
        <v>0.14719287591240904</v>
      </c>
      <c r="J1135" s="14">
        <v>1.3778261605839439</v>
      </c>
    </row>
    <row r="1136" spans="1:10" ht="15.75" x14ac:dyDescent="0.5">
      <c r="A1136" s="13" t="s">
        <v>305</v>
      </c>
      <c r="B1136" s="13" t="s">
        <v>401</v>
      </c>
      <c r="C1136" s="13" t="s">
        <v>400</v>
      </c>
      <c r="D1136" s="14" t="s">
        <v>250</v>
      </c>
      <c r="E1136" s="14" t="s">
        <v>250</v>
      </c>
      <c r="F1136" s="14">
        <v>128.69394098284286</v>
      </c>
      <c r="G1136" s="14">
        <v>128.69394098284283</v>
      </c>
      <c r="H1136" s="14">
        <v>2.7663147795420437</v>
      </c>
      <c r="I1136" s="14" t="s">
        <v>250</v>
      </c>
      <c r="J1136" s="14" t="s">
        <v>250</v>
      </c>
    </row>
    <row r="1137" spans="1:10" ht="15.75" x14ac:dyDescent="0.5">
      <c r="A1137" s="13" t="s">
        <v>305</v>
      </c>
      <c r="B1137" s="13" t="s">
        <v>402</v>
      </c>
      <c r="C1137" s="13" t="s">
        <v>400</v>
      </c>
      <c r="D1137" s="14">
        <v>1072.9916742877458</v>
      </c>
      <c r="E1137" s="14">
        <v>403.95931337863482</v>
      </c>
      <c r="F1137" s="14">
        <v>177.05812802854695</v>
      </c>
      <c r="G1137" s="14">
        <v>172.35406655503175</v>
      </c>
      <c r="H1137" s="14">
        <v>112.02293296442484</v>
      </c>
      <c r="I1137" s="14">
        <v>36.664447475633374</v>
      </c>
      <c r="J1137" s="14">
        <v>0.30695040000000079</v>
      </c>
    </row>
    <row r="1138" spans="1:10" ht="15.75" x14ac:dyDescent="0.5">
      <c r="A1138" s="13" t="s">
        <v>305</v>
      </c>
      <c r="B1138" s="13" t="s">
        <v>403</v>
      </c>
      <c r="C1138" s="13" t="s">
        <v>400</v>
      </c>
      <c r="D1138" s="14" t="s">
        <v>250</v>
      </c>
      <c r="E1138" s="14" t="s">
        <v>250</v>
      </c>
      <c r="F1138" s="14">
        <v>45.576169448629678</v>
      </c>
      <c r="G1138" s="14">
        <v>45.576169448629749</v>
      </c>
      <c r="H1138" s="14">
        <v>9.2238176920994412</v>
      </c>
      <c r="I1138" s="14">
        <v>4.6679850000000096</v>
      </c>
      <c r="J1138" s="14" t="s">
        <v>250</v>
      </c>
    </row>
    <row r="1139" spans="1:10" ht="15.75" x14ac:dyDescent="0.5">
      <c r="A1139" s="13" t="s">
        <v>305</v>
      </c>
      <c r="B1139" s="13" t="s">
        <v>421</v>
      </c>
      <c r="C1139" s="13" t="s">
        <v>400</v>
      </c>
      <c r="D1139" s="14" t="s">
        <v>250</v>
      </c>
      <c r="E1139" s="14" t="s">
        <v>250</v>
      </c>
      <c r="F1139" s="14" t="s">
        <v>250</v>
      </c>
      <c r="G1139" s="14">
        <v>47.622561571871934</v>
      </c>
      <c r="H1139" s="14">
        <v>127.10190509173134</v>
      </c>
      <c r="I1139" s="14">
        <v>115.0413393240851</v>
      </c>
      <c r="J1139" s="14">
        <v>55.126835551427412</v>
      </c>
    </row>
    <row r="1140" spans="1:10" ht="15.75" x14ac:dyDescent="0.5">
      <c r="A1140" s="13" t="s">
        <v>305</v>
      </c>
      <c r="B1140" s="13" t="s">
        <v>405</v>
      </c>
      <c r="C1140" s="13" t="s">
        <v>400</v>
      </c>
      <c r="D1140" s="14">
        <v>1259.3891290889947</v>
      </c>
      <c r="E1140" s="14">
        <v>1304.9586435390336</v>
      </c>
      <c r="F1140" s="14">
        <v>1311.4487695616624</v>
      </c>
      <c r="G1140" s="14">
        <v>1113.3265733779249</v>
      </c>
      <c r="H1140" s="14">
        <v>895.8350881863521</v>
      </c>
      <c r="I1140" s="14">
        <v>461.53476433940119</v>
      </c>
      <c r="J1140" s="14">
        <v>309.41887029014612</v>
      </c>
    </row>
    <row r="1141" spans="1:10" ht="15.75" x14ac:dyDescent="0.5">
      <c r="A1141" s="13" t="s">
        <v>305</v>
      </c>
      <c r="B1141" s="13" t="s">
        <v>406</v>
      </c>
      <c r="C1141" s="13" t="s">
        <v>400</v>
      </c>
      <c r="D1141" s="14">
        <v>23.479196814299332</v>
      </c>
      <c r="E1141" s="14">
        <v>23.205181825816464</v>
      </c>
      <c r="F1141" s="14">
        <v>43.367101660771034</v>
      </c>
      <c r="G1141" s="14">
        <v>41.289110713173578</v>
      </c>
      <c r="H1141" s="14">
        <v>37.35845141885688</v>
      </c>
      <c r="I1141" s="14">
        <v>32.693119097519173</v>
      </c>
      <c r="J1141" s="14">
        <v>25.217762235156169</v>
      </c>
    </row>
    <row r="1142" spans="1:10" ht="15.75" x14ac:dyDescent="0.5">
      <c r="A1142" s="13" t="s">
        <v>305</v>
      </c>
      <c r="B1142" s="13" t="s">
        <v>407</v>
      </c>
      <c r="C1142" s="13" t="s">
        <v>400</v>
      </c>
      <c r="D1142" s="14" t="s">
        <v>250</v>
      </c>
      <c r="E1142" s="14">
        <v>146.13414520434969</v>
      </c>
      <c r="F1142" s="14">
        <v>107.83571938747292</v>
      </c>
      <c r="G1142" s="14">
        <v>156.32465521670983</v>
      </c>
      <c r="H1142" s="14" t="s">
        <v>250</v>
      </c>
      <c r="I1142" s="14" t="s">
        <v>250</v>
      </c>
      <c r="J1142" s="14" t="s">
        <v>250</v>
      </c>
    </row>
    <row r="1143" spans="1:10" ht="15.75" x14ac:dyDescent="0.5">
      <c r="A1143" s="13" t="s">
        <v>305</v>
      </c>
      <c r="B1143" s="13" t="s">
        <v>408</v>
      </c>
      <c r="C1143" s="13" t="s">
        <v>400</v>
      </c>
      <c r="D1143" s="14">
        <v>46.892290321001219</v>
      </c>
      <c r="E1143" s="14">
        <v>34.957307315955248</v>
      </c>
      <c r="F1143" s="14">
        <v>30.309505423422138</v>
      </c>
      <c r="G1143" s="14">
        <v>46.185250146498809</v>
      </c>
      <c r="H1143" s="14">
        <v>41.56179780163184</v>
      </c>
      <c r="I1143" s="14">
        <v>27.923162611345138</v>
      </c>
      <c r="J1143" s="14">
        <v>28.351206903425613</v>
      </c>
    </row>
    <row r="1144" spans="1:10" ht="15.75" x14ac:dyDescent="0.5">
      <c r="A1144" s="13" t="s">
        <v>305</v>
      </c>
      <c r="B1144" s="13" t="s">
        <v>409</v>
      </c>
      <c r="C1144" s="13" t="s">
        <v>400</v>
      </c>
      <c r="D1144" s="14">
        <v>18.365704270000034</v>
      </c>
      <c r="E1144" s="14">
        <v>18.365704270000037</v>
      </c>
      <c r="F1144" s="14">
        <v>18.36570427000003</v>
      </c>
      <c r="G1144" s="14">
        <v>18.365704270000027</v>
      </c>
      <c r="H1144" s="14">
        <v>18.365704270000034</v>
      </c>
      <c r="I1144" s="14">
        <v>17.701203031460121</v>
      </c>
      <c r="J1144" s="14">
        <v>17.208160082905138</v>
      </c>
    </row>
    <row r="1145" spans="1:10" ht="15.75" x14ac:dyDescent="0.5">
      <c r="A1145" s="13" t="s">
        <v>305</v>
      </c>
      <c r="B1145" s="13" t="s">
        <v>410</v>
      </c>
      <c r="C1145" s="13" t="s">
        <v>400</v>
      </c>
      <c r="D1145" s="14">
        <v>245.79356253202209</v>
      </c>
      <c r="E1145" s="14">
        <v>244.66243077100566</v>
      </c>
      <c r="F1145" s="14">
        <v>246.1464856784421</v>
      </c>
      <c r="G1145" s="14">
        <v>246.16997594141068</v>
      </c>
      <c r="H1145" s="14">
        <v>246.1699759413813</v>
      </c>
      <c r="I1145" s="14">
        <v>246.16997594139116</v>
      </c>
      <c r="J1145" s="14">
        <v>245.75534936178448</v>
      </c>
    </row>
    <row r="1146" spans="1:10" ht="15.75" x14ac:dyDescent="0.5">
      <c r="A1146" s="13" t="s">
        <v>305</v>
      </c>
      <c r="B1146" s="13" t="s">
        <v>411</v>
      </c>
      <c r="C1146" s="13" t="s">
        <v>400</v>
      </c>
      <c r="D1146" s="14">
        <v>7.1394000000000171</v>
      </c>
      <c r="E1146" s="14">
        <v>6.2140961256728504</v>
      </c>
      <c r="F1146" s="14" t="s">
        <v>250</v>
      </c>
      <c r="G1146" s="14" t="s">
        <v>250</v>
      </c>
      <c r="H1146" s="14" t="s">
        <v>250</v>
      </c>
      <c r="I1146" s="14" t="s">
        <v>250</v>
      </c>
      <c r="J1146" s="14" t="s">
        <v>250</v>
      </c>
    </row>
    <row r="1147" spans="1:10" ht="15.75" x14ac:dyDescent="0.5">
      <c r="A1147" s="13" t="s">
        <v>305</v>
      </c>
      <c r="B1147" s="13" t="s">
        <v>412</v>
      </c>
      <c r="C1147" s="13" t="s">
        <v>400</v>
      </c>
      <c r="D1147" s="14">
        <v>760.72545968400186</v>
      </c>
      <c r="E1147" s="14">
        <v>749.4160107557185</v>
      </c>
      <c r="F1147" s="14">
        <v>633.88637284699314</v>
      </c>
      <c r="G1147" s="14">
        <v>679.66931778810863</v>
      </c>
      <c r="H1147" s="14">
        <v>207.47787432250948</v>
      </c>
      <c r="I1147" s="14">
        <v>15.583324404568732</v>
      </c>
      <c r="J1147" s="14">
        <v>163.38140116958246</v>
      </c>
    </row>
    <row r="1148" spans="1:10" ht="15.75" x14ac:dyDescent="0.5">
      <c r="A1148" s="13" t="s">
        <v>305</v>
      </c>
      <c r="B1148" s="13" t="s">
        <v>413</v>
      </c>
      <c r="C1148" s="13" t="s">
        <v>400</v>
      </c>
      <c r="D1148" s="14">
        <v>23.702927619886133</v>
      </c>
      <c r="E1148" s="14">
        <v>20.046857608864254</v>
      </c>
      <c r="F1148" s="14">
        <v>6.2291774476111659</v>
      </c>
      <c r="G1148" s="14">
        <v>3.1472397383563973</v>
      </c>
      <c r="H1148" s="14">
        <v>1.6386895200860958</v>
      </c>
      <c r="I1148" s="14">
        <v>1.5102660167725555</v>
      </c>
      <c r="J1148" s="14">
        <v>0.47343457130533018</v>
      </c>
    </row>
    <row r="1149" spans="1:10" ht="15.75" x14ac:dyDescent="0.5">
      <c r="A1149" s="13" t="s">
        <v>305</v>
      </c>
      <c r="B1149" s="13" t="s">
        <v>414</v>
      </c>
      <c r="C1149" s="13" t="s">
        <v>400</v>
      </c>
      <c r="D1149" s="14">
        <v>0.6803907705109502</v>
      </c>
      <c r="E1149" s="14">
        <v>24.410644358788311</v>
      </c>
      <c r="F1149" s="14">
        <v>100.4684958429666</v>
      </c>
      <c r="G1149" s="14">
        <v>206.8045083449685</v>
      </c>
      <c r="H1149" s="14">
        <v>253.24970463345818</v>
      </c>
      <c r="I1149" s="14">
        <v>254.76916915429541</v>
      </c>
      <c r="J1149" s="14">
        <v>255.94572771728522</v>
      </c>
    </row>
    <row r="1150" spans="1:10" ht="15.75" x14ac:dyDescent="0.5">
      <c r="A1150" s="13" t="s">
        <v>305</v>
      </c>
      <c r="B1150" s="13" t="s">
        <v>415</v>
      </c>
      <c r="C1150" s="13" t="s">
        <v>400</v>
      </c>
      <c r="D1150" s="14">
        <v>440.53124483255573</v>
      </c>
      <c r="E1150" s="14">
        <v>874.72938292183835</v>
      </c>
      <c r="F1150" s="14">
        <v>1403.2078289394865</v>
      </c>
      <c r="G1150" s="14">
        <v>1593.2076496921813</v>
      </c>
      <c r="H1150" s="14">
        <v>2454.8860836985814</v>
      </c>
      <c r="I1150" s="14">
        <v>3794.6348294606523</v>
      </c>
      <c r="J1150" s="14">
        <v>3895.2252615990124</v>
      </c>
    </row>
    <row r="1151" spans="1:10" ht="15.75" x14ac:dyDescent="0.5">
      <c r="A1151" s="13" t="s">
        <v>305</v>
      </c>
      <c r="B1151" s="13" t="s">
        <v>416</v>
      </c>
      <c r="C1151" s="13" t="s">
        <v>400</v>
      </c>
      <c r="D1151" s="14" t="s">
        <v>250</v>
      </c>
      <c r="E1151" s="14">
        <v>70.934498682900767</v>
      </c>
      <c r="F1151" s="14">
        <v>100.19546122793699</v>
      </c>
      <c r="G1151" s="14">
        <v>127.69344447727373</v>
      </c>
      <c r="H1151" s="14">
        <v>145.88323771792338</v>
      </c>
      <c r="I1151" s="14">
        <v>165.77906731373221</v>
      </c>
      <c r="J1151" s="14">
        <v>186.28657305490802</v>
      </c>
    </row>
    <row r="1152" spans="1:10" ht="15.75" x14ac:dyDescent="0.5">
      <c r="A1152" s="13" t="s">
        <v>305</v>
      </c>
      <c r="B1152" s="13" t="s">
        <v>417</v>
      </c>
      <c r="C1152" s="13" t="s">
        <v>400</v>
      </c>
      <c r="D1152" s="14">
        <v>187.48709633408689</v>
      </c>
      <c r="E1152" s="14">
        <v>298.30786724466168</v>
      </c>
      <c r="F1152" s="14">
        <v>339.94935565504693</v>
      </c>
      <c r="G1152" s="14">
        <v>1158.5189938470119</v>
      </c>
      <c r="H1152" s="14">
        <v>2862.4821892585055</v>
      </c>
      <c r="I1152" s="14">
        <v>4373.2850587854673</v>
      </c>
      <c r="J1152" s="14">
        <v>4560.0174904046908</v>
      </c>
    </row>
    <row r="1153" spans="1:10" ht="15.75" x14ac:dyDescent="0.5">
      <c r="A1153" s="13" t="s">
        <v>305</v>
      </c>
      <c r="B1153" s="13" t="s">
        <v>418</v>
      </c>
      <c r="C1153" s="13" t="s">
        <v>400</v>
      </c>
      <c r="D1153" s="14">
        <v>3.184175173101953</v>
      </c>
      <c r="E1153" s="14">
        <v>3.184175173101953</v>
      </c>
      <c r="F1153" s="14">
        <v>3.1841751731019534</v>
      </c>
      <c r="G1153" s="14">
        <v>3.1841751731019539</v>
      </c>
      <c r="H1153" s="14">
        <v>3.1841751731019534</v>
      </c>
      <c r="I1153" s="14">
        <v>3.1841751731019539</v>
      </c>
      <c r="J1153" s="14">
        <v>3.1841751731019534</v>
      </c>
    </row>
    <row r="1154" spans="1:10" ht="15.75" x14ac:dyDescent="0.5">
      <c r="A1154" s="13" t="s">
        <v>305</v>
      </c>
      <c r="B1154" s="13" t="s">
        <v>419</v>
      </c>
      <c r="C1154" s="13" t="s">
        <v>400</v>
      </c>
      <c r="D1154" s="14">
        <v>0.54465920264079504</v>
      </c>
      <c r="E1154" s="14">
        <v>10.395985876554208</v>
      </c>
      <c r="F1154" s="14">
        <v>94.344367515842933</v>
      </c>
      <c r="G1154" s="14">
        <v>288.0910173514618</v>
      </c>
      <c r="H1154" s="14">
        <v>1228.3430751433818</v>
      </c>
      <c r="I1154" s="14">
        <v>2625.4558721617123</v>
      </c>
      <c r="J1154" s="14">
        <v>2944.4652643949653</v>
      </c>
    </row>
    <row r="1155" spans="1:10" ht="15.75" x14ac:dyDescent="0.5">
      <c r="A1155" s="13" t="s">
        <v>305</v>
      </c>
      <c r="B1155" s="13" t="s">
        <v>420</v>
      </c>
      <c r="C1155" s="13" t="s">
        <v>400</v>
      </c>
      <c r="D1155" s="14">
        <v>-13.987252957808316</v>
      </c>
      <c r="E1155" s="14">
        <v>-13.601995327260774</v>
      </c>
      <c r="F1155" s="14">
        <v>-13.766176150827235</v>
      </c>
      <c r="G1155" s="14">
        <v>-11.712470432737945</v>
      </c>
      <c r="H1155" s="14">
        <v>-14.019408396334081</v>
      </c>
      <c r="I1155" s="14">
        <v>-18.041025575072283</v>
      </c>
      <c r="J1155" s="14">
        <v>-21.521939110629418</v>
      </c>
    </row>
    <row r="1156" spans="1:10" ht="15.75" x14ac:dyDescent="0.5">
      <c r="A1156" s="13" t="s">
        <v>306</v>
      </c>
      <c r="B1156" s="13" t="s">
        <v>399</v>
      </c>
      <c r="C1156" s="13" t="s">
        <v>400</v>
      </c>
      <c r="D1156" s="14">
        <v>7.2499064625597898</v>
      </c>
      <c r="E1156" s="14">
        <v>0.20898235810271881</v>
      </c>
      <c r="F1156" s="14">
        <v>0.51246000000000103</v>
      </c>
      <c r="G1156" s="14">
        <v>0.6926592700729941</v>
      </c>
      <c r="H1156" s="14">
        <v>0.83149599162927335</v>
      </c>
      <c r="I1156" s="14">
        <v>1.2218115605637108</v>
      </c>
      <c r="J1156" s="14">
        <v>1.0472854423080729</v>
      </c>
    </row>
    <row r="1157" spans="1:10" ht="15.75" x14ac:dyDescent="0.5">
      <c r="A1157" s="13" t="s">
        <v>306</v>
      </c>
      <c r="B1157" s="13" t="s">
        <v>401</v>
      </c>
      <c r="C1157" s="13" t="s">
        <v>400</v>
      </c>
      <c r="D1157" s="14" t="s">
        <v>250</v>
      </c>
      <c r="E1157" s="14" t="s">
        <v>250</v>
      </c>
      <c r="F1157" s="14">
        <v>82.000989071385902</v>
      </c>
      <c r="G1157" s="14">
        <v>82.000989071385902</v>
      </c>
      <c r="H1157" s="14">
        <v>21.263399605180698</v>
      </c>
      <c r="I1157" s="14">
        <v>17.394409269608506</v>
      </c>
      <c r="J1157" s="14" t="s">
        <v>250</v>
      </c>
    </row>
    <row r="1158" spans="1:10" ht="15.75" x14ac:dyDescent="0.5">
      <c r="A1158" s="13" t="s">
        <v>306</v>
      </c>
      <c r="B1158" s="13" t="s">
        <v>402</v>
      </c>
      <c r="C1158" s="13" t="s">
        <v>400</v>
      </c>
      <c r="D1158" s="14">
        <v>1072.9916742877463</v>
      </c>
      <c r="E1158" s="14">
        <v>396.99166406218512</v>
      </c>
      <c r="F1158" s="14">
        <v>207.34646631710331</v>
      </c>
      <c r="G1158" s="14">
        <v>287.65335181832364</v>
      </c>
      <c r="H1158" s="14">
        <v>299.50396281137131</v>
      </c>
      <c r="I1158" s="14">
        <v>299.3532290792507</v>
      </c>
      <c r="J1158" s="14">
        <v>227.07562496998085</v>
      </c>
    </row>
    <row r="1159" spans="1:10" ht="15.75" x14ac:dyDescent="0.5">
      <c r="A1159" s="13" t="s">
        <v>306</v>
      </c>
      <c r="B1159" s="13" t="s">
        <v>403</v>
      </c>
      <c r="C1159" s="13" t="s">
        <v>400</v>
      </c>
      <c r="D1159" s="14" t="s">
        <v>250</v>
      </c>
      <c r="E1159" s="14" t="s">
        <v>250</v>
      </c>
      <c r="F1159" s="14">
        <v>23.782035153526721</v>
      </c>
      <c r="G1159" s="14">
        <v>23.782035153526721</v>
      </c>
      <c r="H1159" s="14">
        <v>4.7896076377393122</v>
      </c>
      <c r="I1159" s="14">
        <v>4.789607637739314</v>
      </c>
      <c r="J1159" s="14" t="s">
        <v>250</v>
      </c>
    </row>
    <row r="1160" spans="1:10" ht="15.75" x14ac:dyDescent="0.5">
      <c r="A1160" s="13" t="s">
        <v>306</v>
      </c>
      <c r="B1160" s="13" t="s">
        <v>404</v>
      </c>
      <c r="C1160" s="13" t="s">
        <v>400</v>
      </c>
      <c r="D1160" s="14" t="s">
        <v>250</v>
      </c>
      <c r="E1160" s="14" t="s">
        <v>250</v>
      </c>
      <c r="F1160" s="14" t="s">
        <v>250</v>
      </c>
      <c r="G1160" s="14" t="s">
        <v>250</v>
      </c>
      <c r="H1160" s="14" t="s">
        <v>250</v>
      </c>
      <c r="I1160" s="14">
        <v>0.33069896914528535</v>
      </c>
      <c r="J1160" s="14">
        <v>0.33069896914528535</v>
      </c>
    </row>
    <row r="1161" spans="1:10" ht="15.75" x14ac:dyDescent="0.5">
      <c r="A1161" s="13" t="s">
        <v>306</v>
      </c>
      <c r="B1161" s="13" t="s">
        <v>405</v>
      </c>
      <c r="C1161" s="13" t="s">
        <v>400</v>
      </c>
      <c r="D1161" s="14">
        <v>1259.3891290889947</v>
      </c>
      <c r="E1161" s="14">
        <v>1339.1067326912289</v>
      </c>
      <c r="F1161" s="14">
        <v>1488.3880516379195</v>
      </c>
      <c r="G1161" s="14">
        <v>1750.4964031619772</v>
      </c>
      <c r="H1161" s="14">
        <v>2109.1201411026937</v>
      </c>
      <c r="I1161" s="14">
        <v>2061.6357177001896</v>
      </c>
      <c r="J1161" s="14">
        <v>1747.2568292192277</v>
      </c>
    </row>
    <row r="1162" spans="1:10" ht="15.75" x14ac:dyDescent="0.5">
      <c r="A1162" s="13" t="s">
        <v>306</v>
      </c>
      <c r="B1162" s="13" t="s">
        <v>406</v>
      </c>
      <c r="C1162" s="13" t="s">
        <v>400</v>
      </c>
      <c r="D1162" s="14">
        <v>23.479196814299335</v>
      </c>
      <c r="E1162" s="14">
        <v>20.853061564974638</v>
      </c>
      <c r="F1162" s="14">
        <v>42.612375451916698</v>
      </c>
      <c r="G1162" s="14">
        <v>41.908652383899117</v>
      </c>
      <c r="H1162" s="14">
        <v>42.199771928221423</v>
      </c>
      <c r="I1162" s="14">
        <v>40.212163662793031</v>
      </c>
      <c r="J1162" s="14">
        <v>35.772470472793607</v>
      </c>
    </row>
    <row r="1163" spans="1:10" ht="15.75" x14ac:dyDescent="0.5">
      <c r="A1163" s="13" t="s">
        <v>306</v>
      </c>
      <c r="B1163" s="13" t="s">
        <v>407</v>
      </c>
      <c r="C1163" s="13" t="s">
        <v>400</v>
      </c>
      <c r="D1163" s="14" t="s">
        <v>250</v>
      </c>
      <c r="E1163" s="14">
        <v>113.0106874430961</v>
      </c>
      <c r="F1163" s="14">
        <v>62.121857107585974</v>
      </c>
      <c r="G1163" s="14">
        <v>168.56098798623714</v>
      </c>
      <c r="H1163" s="14">
        <v>104.55378515299687</v>
      </c>
      <c r="I1163" s="14">
        <v>35.533551700490548</v>
      </c>
      <c r="J1163" s="14">
        <v>8.114708333333347</v>
      </c>
    </row>
    <row r="1164" spans="1:10" ht="15.75" x14ac:dyDescent="0.5">
      <c r="A1164" s="13" t="s">
        <v>306</v>
      </c>
      <c r="B1164" s="13" t="s">
        <v>408</v>
      </c>
      <c r="C1164" s="13" t="s">
        <v>400</v>
      </c>
      <c r="D1164" s="14">
        <v>46.892290321001227</v>
      </c>
      <c r="E1164" s="14">
        <v>35.128013055864507</v>
      </c>
      <c r="F1164" s="14">
        <v>31.814392951992339</v>
      </c>
      <c r="G1164" s="14">
        <v>45.019527342241027</v>
      </c>
      <c r="H1164" s="14">
        <v>44.68685352964561</v>
      </c>
      <c r="I1164" s="14">
        <v>43.688518586307907</v>
      </c>
      <c r="J1164" s="14">
        <v>42.116719608183523</v>
      </c>
    </row>
    <row r="1165" spans="1:10" ht="15.75" x14ac:dyDescent="0.5">
      <c r="A1165" s="13" t="s">
        <v>306</v>
      </c>
      <c r="B1165" s="13" t="s">
        <v>409</v>
      </c>
      <c r="C1165" s="13" t="s">
        <v>400</v>
      </c>
      <c r="D1165" s="14">
        <v>18.365704270000034</v>
      </c>
      <c r="E1165" s="14">
        <v>18.36570427000003</v>
      </c>
      <c r="F1165" s="14">
        <v>18.36570427000003</v>
      </c>
      <c r="G1165" s="14">
        <v>18.365704270000037</v>
      </c>
      <c r="H1165" s="14">
        <v>18.365704270000023</v>
      </c>
      <c r="I1165" s="14">
        <v>18.365704270000037</v>
      </c>
      <c r="J1165" s="14">
        <v>18.365704270000037</v>
      </c>
    </row>
    <row r="1166" spans="1:10" ht="15.75" x14ac:dyDescent="0.5">
      <c r="A1166" s="13" t="s">
        <v>306</v>
      </c>
      <c r="B1166" s="13" t="s">
        <v>410</v>
      </c>
      <c r="C1166" s="13" t="s">
        <v>400</v>
      </c>
      <c r="D1166" s="14">
        <v>245.79356253202215</v>
      </c>
      <c r="E1166" s="14">
        <v>244.56347032014449</v>
      </c>
      <c r="F1166" s="14">
        <v>246.10907565345181</v>
      </c>
      <c r="G1166" s="14">
        <v>246.16997594139119</v>
      </c>
      <c r="H1166" s="14">
        <v>246.16997594139102</v>
      </c>
      <c r="I1166" s="14">
        <v>246.16997594138741</v>
      </c>
      <c r="J1166" s="14">
        <v>246.16997594139156</v>
      </c>
    </row>
    <row r="1167" spans="1:10" ht="15.75" x14ac:dyDescent="0.5">
      <c r="A1167" s="13" t="s">
        <v>306</v>
      </c>
      <c r="B1167" s="13" t="s">
        <v>411</v>
      </c>
      <c r="C1167" s="13" t="s">
        <v>400</v>
      </c>
      <c r="D1167" s="14">
        <v>7.1394000000000171</v>
      </c>
      <c r="E1167" s="14">
        <v>6.5474739855566737</v>
      </c>
      <c r="F1167" s="14">
        <v>1.9272000000000054</v>
      </c>
      <c r="G1167" s="14">
        <v>1.9272000000000054</v>
      </c>
      <c r="H1167" s="14">
        <v>1.9272000000000051</v>
      </c>
      <c r="I1167" s="14">
        <v>1.9272000000000054</v>
      </c>
      <c r="J1167" s="14">
        <v>1.9272000000000056</v>
      </c>
    </row>
    <row r="1168" spans="1:10" ht="15.75" x14ac:dyDescent="0.5">
      <c r="A1168" s="13" t="s">
        <v>306</v>
      </c>
      <c r="B1168" s="13" t="s">
        <v>412</v>
      </c>
      <c r="C1168" s="13" t="s">
        <v>400</v>
      </c>
      <c r="D1168" s="14">
        <v>760.72545968400175</v>
      </c>
      <c r="E1168" s="14">
        <v>748.12412128265044</v>
      </c>
      <c r="F1168" s="14">
        <v>633.57284264824921</v>
      </c>
      <c r="G1168" s="14">
        <v>695.50682609141631</v>
      </c>
      <c r="H1168" s="14">
        <v>706.66353061810332</v>
      </c>
      <c r="I1168" s="14">
        <v>702.7072358653154</v>
      </c>
      <c r="J1168" s="14">
        <v>689.76320360544855</v>
      </c>
    </row>
    <row r="1169" spans="1:10" ht="15.75" x14ac:dyDescent="0.5">
      <c r="A1169" s="13" t="s">
        <v>306</v>
      </c>
      <c r="B1169" s="13" t="s">
        <v>413</v>
      </c>
      <c r="C1169" s="13" t="s">
        <v>400</v>
      </c>
      <c r="D1169" s="14">
        <v>23.702927619886136</v>
      </c>
      <c r="E1169" s="14">
        <v>19.970256477909231</v>
      </c>
      <c r="F1169" s="14">
        <v>6.3412517571151508</v>
      </c>
      <c r="G1169" s="14">
        <v>2.621122479709181</v>
      </c>
      <c r="H1169" s="14">
        <v>1.3128144831946393</v>
      </c>
      <c r="I1169" s="14">
        <v>1.2076914930525366</v>
      </c>
      <c r="J1169" s="14">
        <v>0.70876973307230562</v>
      </c>
    </row>
    <row r="1170" spans="1:10" ht="15.75" x14ac:dyDescent="0.5">
      <c r="A1170" s="13" t="s">
        <v>306</v>
      </c>
      <c r="B1170" s="13" t="s">
        <v>414</v>
      </c>
      <c r="C1170" s="13" t="s">
        <v>400</v>
      </c>
      <c r="D1170" s="14">
        <v>0.6803907705109502</v>
      </c>
      <c r="E1170" s="14">
        <v>24.430349541099531</v>
      </c>
      <c r="F1170" s="14">
        <v>100.39504873510127</v>
      </c>
      <c r="G1170" s="14">
        <v>206.55007368389602</v>
      </c>
      <c r="H1170" s="14">
        <v>253.16269272032287</v>
      </c>
      <c r="I1170" s="14">
        <v>254.68158176554405</v>
      </c>
      <c r="J1170" s="14">
        <v>255.8576963902016</v>
      </c>
    </row>
    <row r="1171" spans="1:10" ht="15.75" x14ac:dyDescent="0.5">
      <c r="A1171" s="13" t="s">
        <v>306</v>
      </c>
      <c r="B1171" s="13" t="s">
        <v>415</v>
      </c>
      <c r="C1171" s="13" t="s">
        <v>400</v>
      </c>
      <c r="D1171" s="14">
        <v>440.53124483255567</v>
      </c>
      <c r="E1171" s="14">
        <v>873.81161464141189</v>
      </c>
      <c r="F1171" s="14">
        <v>1350.987543836256</v>
      </c>
      <c r="G1171" s="14">
        <v>1432.2697913659836</v>
      </c>
      <c r="H1171" s="14">
        <v>1625.3592214368364</v>
      </c>
      <c r="I1171" s="14">
        <v>1941.365820692773</v>
      </c>
      <c r="J1171" s="14">
        <v>2572.2365355826232</v>
      </c>
    </row>
    <row r="1172" spans="1:10" ht="15.75" x14ac:dyDescent="0.5">
      <c r="A1172" s="13" t="s">
        <v>306</v>
      </c>
      <c r="B1172" s="13" t="s">
        <v>416</v>
      </c>
      <c r="C1172" s="13" t="s">
        <v>400</v>
      </c>
      <c r="D1172" s="14" t="s">
        <v>250</v>
      </c>
      <c r="E1172" s="14">
        <v>70.934498682900738</v>
      </c>
      <c r="F1172" s="14">
        <v>100.19546122793703</v>
      </c>
      <c r="G1172" s="14">
        <v>127.69344447727377</v>
      </c>
      <c r="H1172" s="14">
        <v>145.88323771792344</v>
      </c>
      <c r="I1172" s="14">
        <v>165.7790673137323</v>
      </c>
      <c r="J1172" s="14">
        <v>186.28657305490808</v>
      </c>
    </row>
    <row r="1173" spans="1:10" ht="15.75" x14ac:dyDescent="0.5">
      <c r="A1173" s="13" t="s">
        <v>306</v>
      </c>
      <c r="B1173" s="13" t="s">
        <v>417</v>
      </c>
      <c r="C1173" s="13" t="s">
        <v>400</v>
      </c>
      <c r="D1173" s="14">
        <v>187.48709633408689</v>
      </c>
      <c r="E1173" s="14">
        <v>298.36286233429843</v>
      </c>
      <c r="F1173" s="14">
        <v>340.09882461976827</v>
      </c>
      <c r="G1173" s="14">
        <v>635.01691173566701</v>
      </c>
      <c r="H1173" s="14">
        <v>1320.018250705845</v>
      </c>
      <c r="I1173" s="14">
        <v>2044.2069241743548</v>
      </c>
      <c r="J1173" s="14">
        <v>2486.4657149837526</v>
      </c>
    </row>
    <row r="1174" spans="1:10" ht="15.75" x14ac:dyDescent="0.5">
      <c r="A1174" s="13" t="s">
        <v>306</v>
      </c>
      <c r="B1174" s="13" t="s">
        <v>418</v>
      </c>
      <c r="C1174" s="13" t="s">
        <v>400</v>
      </c>
      <c r="D1174" s="14">
        <v>3.1841751731019534</v>
      </c>
      <c r="E1174" s="14">
        <v>3.184175173101953</v>
      </c>
      <c r="F1174" s="14">
        <v>3.1841751731019534</v>
      </c>
      <c r="G1174" s="14">
        <v>3.1841751731019534</v>
      </c>
      <c r="H1174" s="14">
        <v>3.184175173101953</v>
      </c>
      <c r="I1174" s="14">
        <v>3.1841751731019534</v>
      </c>
      <c r="J1174" s="14">
        <v>3.184175173101953</v>
      </c>
    </row>
    <row r="1175" spans="1:10" ht="15.75" x14ac:dyDescent="0.5">
      <c r="A1175" s="13" t="s">
        <v>306</v>
      </c>
      <c r="B1175" s="13" t="s">
        <v>419</v>
      </c>
      <c r="C1175" s="13" t="s">
        <v>400</v>
      </c>
      <c r="D1175" s="14">
        <v>0.54465920264079493</v>
      </c>
      <c r="E1175" s="14">
        <v>8.145399001612823</v>
      </c>
      <c r="F1175" s="14">
        <v>22.187967442368535</v>
      </c>
      <c r="G1175" s="14">
        <v>64.45624019867661</v>
      </c>
      <c r="H1175" s="14">
        <v>204.97687247797825</v>
      </c>
      <c r="I1175" s="14">
        <v>499.02187060428241</v>
      </c>
      <c r="J1175" s="14">
        <v>817.30107430210035</v>
      </c>
    </row>
    <row r="1176" spans="1:10" ht="15.75" x14ac:dyDescent="0.5">
      <c r="A1176" s="13" t="s">
        <v>306</v>
      </c>
      <c r="B1176" s="13" t="s">
        <v>420</v>
      </c>
      <c r="C1176" s="13" t="s">
        <v>400</v>
      </c>
      <c r="D1176" s="14">
        <v>-13.987252957808384</v>
      </c>
      <c r="E1176" s="14">
        <v>-13.56088160261617</v>
      </c>
      <c r="F1176" s="14">
        <v>-12.990174055836178</v>
      </c>
      <c r="G1176" s="14">
        <v>-12.481898284840437</v>
      </c>
      <c r="H1176" s="14">
        <v>-10.42341182481413</v>
      </c>
      <c r="I1176" s="14">
        <v>-13.620975221336607</v>
      </c>
      <c r="J1176" s="14">
        <v>-14.92897238738399</v>
      </c>
    </row>
    <row r="1177" spans="1:10" ht="15.75" x14ac:dyDescent="0.5">
      <c r="A1177" s="13" t="s">
        <v>307</v>
      </c>
      <c r="B1177" s="13" t="s">
        <v>399</v>
      </c>
      <c r="C1177" s="13" t="s">
        <v>400</v>
      </c>
      <c r="D1177" s="14">
        <v>7.2499064625597898</v>
      </c>
      <c r="E1177" s="14">
        <v>0.2089823581027288</v>
      </c>
      <c r="F1177" s="14">
        <v>0.51246000000000103</v>
      </c>
      <c r="G1177" s="14">
        <v>0.69265927007299399</v>
      </c>
      <c r="H1177" s="14">
        <v>0.83149595803454823</v>
      </c>
      <c r="I1177" s="14">
        <v>1.2218121849460486</v>
      </c>
      <c r="J1177" s="14">
        <v>1.0472854423080733</v>
      </c>
    </row>
    <row r="1178" spans="1:10" ht="15.75" x14ac:dyDescent="0.5">
      <c r="A1178" s="13" t="s">
        <v>307</v>
      </c>
      <c r="B1178" s="13" t="s">
        <v>401</v>
      </c>
      <c r="C1178" s="13" t="s">
        <v>400</v>
      </c>
      <c r="D1178" s="14" t="s">
        <v>250</v>
      </c>
      <c r="E1178" s="14" t="s">
        <v>250</v>
      </c>
      <c r="F1178" s="14">
        <v>82.000988659468064</v>
      </c>
      <c r="G1178" s="14">
        <v>82.000988659468078</v>
      </c>
      <c r="H1178" s="14">
        <v>21.263399149190764</v>
      </c>
      <c r="I1178" s="14">
        <v>17.394408485988475</v>
      </c>
      <c r="J1178" s="14" t="s">
        <v>250</v>
      </c>
    </row>
    <row r="1179" spans="1:10" ht="15.75" x14ac:dyDescent="0.5">
      <c r="A1179" s="13" t="s">
        <v>307</v>
      </c>
      <c r="B1179" s="13" t="s">
        <v>402</v>
      </c>
      <c r="C1179" s="13" t="s">
        <v>400</v>
      </c>
      <c r="D1179" s="14">
        <v>1072.9916742877465</v>
      </c>
      <c r="E1179" s="14">
        <v>396.99166566315688</v>
      </c>
      <c r="F1179" s="14">
        <v>207.34646571625447</v>
      </c>
      <c r="G1179" s="14">
        <v>287.65335235346726</v>
      </c>
      <c r="H1179" s="14">
        <v>299.50396100638147</v>
      </c>
      <c r="I1179" s="14">
        <v>299.35323311734453</v>
      </c>
      <c r="J1179" s="14">
        <v>227.07561141302261</v>
      </c>
    </row>
    <row r="1180" spans="1:10" ht="15.75" x14ac:dyDescent="0.5">
      <c r="A1180" s="13" t="s">
        <v>307</v>
      </c>
      <c r="B1180" s="13" t="s">
        <v>403</v>
      </c>
      <c r="C1180" s="13" t="s">
        <v>400</v>
      </c>
      <c r="D1180" s="14" t="s">
        <v>250</v>
      </c>
      <c r="E1180" s="14" t="s">
        <v>250</v>
      </c>
      <c r="F1180" s="14">
        <v>23.782035153526703</v>
      </c>
      <c r="G1180" s="14">
        <v>23.782035153526699</v>
      </c>
      <c r="H1180" s="14">
        <v>4.7896076377393113</v>
      </c>
      <c r="I1180" s="14">
        <v>4.7896076377393104</v>
      </c>
      <c r="J1180" s="14" t="s">
        <v>250</v>
      </c>
    </row>
    <row r="1181" spans="1:10" ht="15.75" x14ac:dyDescent="0.5">
      <c r="A1181" s="13" t="s">
        <v>307</v>
      </c>
      <c r="B1181" s="13" t="s">
        <v>404</v>
      </c>
      <c r="C1181" s="13" t="s">
        <v>400</v>
      </c>
      <c r="D1181" s="14" t="s">
        <v>250</v>
      </c>
      <c r="E1181" s="14" t="s">
        <v>250</v>
      </c>
      <c r="F1181" s="14" t="s">
        <v>250</v>
      </c>
      <c r="G1181" s="14" t="s">
        <v>250</v>
      </c>
      <c r="H1181" s="14" t="s">
        <v>250</v>
      </c>
      <c r="I1181" s="14">
        <v>0.33069896914528535</v>
      </c>
      <c r="J1181" s="14">
        <v>0.33069896914528535</v>
      </c>
    </row>
    <row r="1182" spans="1:10" ht="15.75" x14ac:dyDescent="0.5">
      <c r="A1182" s="13" t="s">
        <v>307</v>
      </c>
      <c r="B1182" s="13" t="s">
        <v>405</v>
      </c>
      <c r="C1182" s="13" t="s">
        <v>400</v>
      </c>
      <c r="D1182" s="14">
        <v>1259.3891290889965</v>
      </c>
      <c r="E1182" s="14">
        <v>1339.1067292087887</v>
      </c>
      <c r="F1182" s="14">
        <v>1488.3880564712663</v>
      </c>
      <c r="G1182" s="14">
        <v>1750.4964073321139</v>
      </c>
      <c r="H1182" s="14">
        <v>2109.1201456739268</v>
      </c>
      <c r="I1182" s="14">
        <v>2061.63572111438</v>
      </c>
      <c r="J1182" s="14">
        <v>1747.2568124712127</v>
      </c>
    </row>
    <row r="1183" spans="1:10" ht="15.75" x14ac:dyDescent="0.5">
      <c r="A1183" s="13" t="s">
        <v>307</v>
      </c>
      <c r="B1183" s="13" t="s">
        <v>406</v>
      </c>
      <c r="C1183" s="13" t="s">
        <v>400</v>
      </c>
      <c r="D1183" s="14">
        <v>23.479196814299339</v>
      </c>
      <c r="E1183" s="14">
        <v>20.853060762360499</v>
      </c>
      <c r="F1183" s="14">
        <v>42.612375376409247</v>
      </c>
      <c r="G1183" s="14">
        <v>41.908652200592066</v>
      </c>
      <c r="H1183" s="14">
        <v>42.199771718306984</v>
      </c>
      <c r="I1183" s="14">
        <v>40.212163314492464</v>
      </c>
      <c r="J1183" s="14">
        <v>35.772470306591359</v>
      </c>
    </row>
    <row r="1184" spans="1:10" ht="15.75" x14ac:dyDescent="0.5">
      <c r="A1184" s="13" t="s">
        <v>307</v>
      </c>
      <c r="B1184" s="13" t="s">
        <v>407</v>
      </c>
      <c r="C1184" s="13" t="s">
        <v>400</v>
      </c>
      <c r="D1184" s="14" t="s">
        <v>250</v>
      </c>
      <c r="E1184" s="14">
        <v>113.01069068447691</v>
      </c>
      <c r="F1184" s="14">
        <v>62.121853397731435</v>
      </c>
      <c r="G1184" s="14">
        <v>168.56098434765713</v>
      </c>
      <c r="H1184" s="14">
        <v>104.55379408804356</v>
      </c>
      <c r="I1184" s="14">
        <v>35.53355169130262</v>
      </c>
      <c r="J1184" s="14">
        <v>8.114708333333347</v>
      </c>
    </row>
    <row r="1185" spans="1:10" ht="15.75" x14ac:dyDescent="0.5">
      <c r="A1185" s="13" t="s">
        <v>307</v>
      </c>
      <c r="B1185" s="13" t="s">
        <v>408</v>
      </c>
      <c r="C1185" s="13" t="s">
        <v>400</v>
      </c>
      <c r="D1185" s="14">
        <v>46.892290321001227</v>
      </c>
      <c r="E1185" s="14">
        <v>35.128012867817816</v>
      </c>
      <c r="F1185" s="14">
        <v>31.814392838266222</v>
      </c>
      <c r="G1185" s="14">
        <v>45.019527304271719</v>
      </c>
      <c r="H1185" s="14">
        <v>44.686853553469518</v>
      </c>
      <c r="I1185" s="14">
        <v>43.688518754384511</v>
      </c>
      <c r="J1185" s="14">
        <v>42.116721246142546</v>
      </c>
    </row>
    <row r="1186" spans="1:10" ht="15.75" x14ac:dyDescent="0.5">
      <c r="A1186" s="13" t="s">
        <v>307</v>
      </c>
      <c r="B1186" s="13" t="s">
        <v>409</v>
      </c>
      <c r="C1186" s="13" t="s">
        <v>400</v>
      </c>
      <c r="D1186" s="14">
        <v>18.365704270000034</v>
      </c>
      <c r="E1186" s="14">
        <v>18.365704270000027</v>
      </c>
      <c r="F1186" s="14">
        <v>18.36570427000003</v>
      </c>
      <c r="G1186" s="14">
        <v>18.36570427000003</v>
      </c>
      <c r="H1186" s="14">
        <v>18.365704270000034</v>
      </c>
      <c r="I1186" s="14">
        <v>18.365704270000037</v>
      </c>
      <c r="J1186" s="14">
        <v>18.365704270000041</v>
      </c>
    </row>
    <row r="1187" spans="1:10" ht="15.75" x14ac:dyDescent="0.5">
      <c r="A1187" s="13" t="s">
        <v>307</v>
      </c>
      <c r="B1187" s="13" t="s">
        <v>410</v>
      </c>
      <c r="C1187" s="13" t="s">
        <v>400</v>
      </c>
      <c r="D1187" s="14">
        <v>245.79356253202212</v>
      </c>
      <c r="E1187" s="14">
        <v>244.56347038096663</v>
      </c>
      <c r="F1187" s="14">
        <v>246.10907565345167</v>
      </c>
      <c r="G1187" s="14">
        <v>246.16997594139107</v>
      </c>
      <c r="H1187" s="14">
        <v>246.16997594139087</v>
      </c>
      <c r="I1187" s="14">
        <v>246.16997594139107</v>
      </c>
      <c r="J1187" s="14">
        <v>246.16997594139104</v>
      </c>
    </row>
    <row r="1188" spans="1:10" ht="15.75" x14ac:dyDescent="0.5">
      <c r="A1188" s="13" t="s">
        <v>307</v>
      </c>
      <c r="B1188" s="13" t="s">
        <v>411</v>
      </c>
      <c r="C1188" s="13" t="s">
        <v>400</v>
      </c>
      <c r="D1188" s="14">
        <v>7.1394000000000162</v>
      </c>
      <c r="E1188" s="14">
        <v>6.5474739626940055</v>
      </c>
      <c r="F1188" s="14">
        <v>1.9272000000000054</v>
      </c>
      <c r="G1188" s="14">
        <v>1.9272000000000054</v>
      </c>
      <c r="H1188" s="14">
        <v>1.9272000000000051</v>
      </c>
      <c r="I1188" s="14">
        <v>1.9272000000000054</v>
      </c>
      <c r="J1188" s="14">
        <v>1.9272000000000054</v>
      </c>
    </row>
    <row r="1189" spans="1:10" ht="15.75" x14ac:dyDescent="0.5">
      <c r="A1189" s="13" t="s">
        <v>307</v>
      </c>
      <c r="B1189" s="13" t="s">
        <v>412</v>
      </c>
      <c r="C1189" s="13" t="s">
        <v>400</v>
      </c>
      <c r="D1189" s="14">
        <v>760.72545968400186</v>
      </c>
      <c r="E1189" s="14">
        <v>748.12412155142897</v>
      </c>
      <c r="F1189" s="14">
        <v>633.57284232363907</v>
      </c>
      <c r="G1189" s="14">
        <v>695.5068267529266</v>
      </c>
      <c r="H1189" s="14">
        <v>706.66353070363914</v>
      </c>
      <c r="I1189" s="14">
        <v>702.70723604894022</v>
      </c>
      <c r="J1189" s="14">
        <v>689.76324567876452</v>
      </c>
    </row>
    <row r="1190" spans="1:10" ht="15.75" x14ac:dyDescent="0.5">
      <c r="A1190" s="13" t="s">
        <v>307</v>
      </c>
      <c r="B1190" s="13" t="s">
        <v>413</v>
      </c>
      <c r="C1190" s="13" t="s">
        <v>400</v>
      </c>
      <c r="D1190" s="14">
        <v>23.702927619886133</v>
      </c>
      <c r="E1190" s="14">
        <v>19.970256110371885</v>
      </c>
      <c r="F1190" s="14">
        <v>6.3412522580556576</v>
      </c>
      <c r="G1190" s="14">
        <v>2.6211224800253561</v>
      </c>
      <c r="H1190" s="14">
        <v>1.3128144947980163</v>
      </c>
      <c r="I1190" s="14">
        <v>1.2076914957438833</v>
      </c>
      <c r="J1190" s="14">
        <v>0.70876973307230573</v>
      </c>
    </row>
    <row r="1191" spans="1:10" ht="15.75" x14ac:dyDescent="0.5">
      <c r="A1191" s="13" t="s">
        <v>307</v>
      </c>
      <c r="B1191" s="13" t="s">
        <v>414</v>
      </c>
      <c r="C1191" s="13" t="s">
        <v>400</v>
      </c>
      <c r="D1191" s="14">
        <v>0.6803907705109502</v>
      </c>
      <c r="E1191" s="14">
        <v>24.43034958652521</v>
      </c>
      <c r="F1191" s="14">
        <v>100.39504893686153</v>
      </c>
      <c r="G1191" s="14">
        <v>206.55007388989802</v>
      </c>
      <c r="H1191" s="14">
        <v>253.16269292817094</v>
      </c>
      <c r="I1191" s="14">
        <v>254.6815819747668</v>
      </c>
      <c r="J1191" s="14">
        <v>255.85769660048473</v>
      </c>
    </row>
    <row r="1192" spans="1:10" ht="15.75" x14ac:dyDescent="0.5">
      <c r="A1192" s="13" t="s">
        <v>307</v>
      </c>
      <c r="B1192" s="13" t="s">
        <v>415</v>
      </c>
      <c r="C1192" s="13" t="s">
        <v>400</v>
      </c>
      <c r="D1192" s="14">
        <v>440.53124483255556</v>
      </c>
      <c r="E1192" s="14">
        <v>873.81161464141201</v>
      </c>
      <c r="F1192" s="14">
        <v>1350.9875438201691</v>
      </c>
      <c r="G1192" s="14">
        <v>1432.2697901620486</v>
      </c>
      <c r="H1192" s="14">
        <v>1625.3592102912539</v>
      </c>
      <c r="I1192" s="14">
        <v>1941.3657982360869</v>
      </c>
      <c r="J1192" s="14">
        <v>2572.2366184042116</v>
      </c>
    </row>
    <row r="1193" spans="1:10" ht="15.75" x14ac:dyDescent="0.5">
      <c r="A1193" s="13" t="s">
        <v>307</v>
      </c>
      <c r="B1193" s="13" t="s">
        <v>416</v>
      </c>
      <c r="C1193" s="13" t="s">
        <v>400</v>
      </c>
      <c r="D1193" s="14" t="s">
        <v>250</v>
      </c>
      <c r="E1193" s="14">
        <v>70.93449868290071</v>
      </c>
      <c r="F1193" s="14">
        <v>100.19546122793702</v>
      </c>
      <c r="G1193" s="14">
        <v>127.69344447727373</v>
      </c>
      <c r="H1193" s="14">
        <v>145.88323771792346</v>
      </c>
      <c r="I1193" s="14">
        <v>165.77906731373236</v>
      </c>
      <c r="J1193" s="14">
        <v>186.28657305490799</v>
      </c>
    </row>
    <row r="1194" spans="1:10" ht="15.75" x14ac:dyDescent="0.5">
      <c r="A1194" s="13" t="s">
        <v>307</v>
      </c>
      <c r="B1194" s="13" t="s">
        <v>417</v>
      </c>
      <c r="C1194" s="13" t="s">
        <v>400</v>
      </c>
      <c r="D1194" s="14">
        <v>187.48709633408683</v>
      </c>
      <c r="E1194" s="14">
        <v>298.36286233429843</v>
      </c>
      <c r="F1194" s="14">
        <v>340.09882458060804</v>
      </c>
      <c r="G1194" s="14">
        <v>635.01690986402923</v>
      </c>
      <c r="H1194" s="14">
        <v>1320.0182421251086</v>
      </c>
      <c r="I1194" s="14">
        <v>2044.2069387202296</v>
      </c>
      <c r="J1194" s="14">
        <v>2486.4655925404199</v>
      </c>
    </row>
    <row r="1195" spans="1:10" ht="15.75" x14ac:dyDescent="0.5">
      <c r="A1195" s="13" t="s">
        <v>307</v>
      </c>
      <c r="B1195" s="13" t="s">
        <v>418</v>
      </c>
      <c r="C1195" s="13" t="s">
        <v>400</v>
      </c>
      <c r="D1195" s="14">
        <v>3.1841751731019534</v>
      </c>
      <c r="E1195" s="14">
        <v>3.1841751731019534</v>
      </c>
      <c r="F1195" s="14">
        <v>3.1841751731019539</v>
      </c>
      <c r="G1195" s="14">
        <v>3.1841751731019534</v>
      </c>
      <c r="H1195" s="14">
        <v>3.1841751731019539</v>
      </c>
      <c r="I1195" s="14">
        <v>3.184175173101953</v>
      </c>
      <c r="J1195" s="14">
        <v>3.1841751731019534</v>
      </c>
    </row>
    <row r="1196" spans="1:10" ht="15.75" x14ac:dyDescent="0.5">
      <c r="A1196" s="13" t="s">
        <v>307</v>
      </c>
      <c r="B1196" s="13" t="s">
        <v>419</v>
      </c>
      <c r="C1196" s="13" t="s">
        <v>400</v>
      </c>
      <c r="D1196" s="14">
        <v>0.54465920264079504</v>
      </c>
      <c r="E1196" s="14">
        <v>8.1453995001801687</v>
      </c>
      <c r="F1196" s="14">
        <v>22.187955579711375</v>
      </c>
      <c r="G1196" s="14">
        <v>64.456355687267518</v>
      </c>
      <c r="H1196" s="14">
        <v>205.02420291365175</v>
      </c>
      <c r="I1196" s="14">
        <v>499.02186488402731</v>
      </c>
      <c r="J1196" s="14">
        <v>817.30101920432401</v>
      </c>
    </row>
    <row r="1197" spans="1:10" ht="15.75" x14ac:dyDescent="0.5">
      <c r="A1197" s="13" t="s">
        <v>307</v>
      </c>
      <c r="B1197" s="13" t="s">
        <v>420</v>
      </c>
      <c r="C1197" s="13" t="s">
        <v>400</v>
      </c>
      <c r="D1197" s="14">
        <v>-13.987252957808375</v>
      </c>
      <c r="E1197" s="14">
        <v>-13.559256786193259</v>
      </c>
      <c r="F1197" s="14">
        <v>-13.003030409813668</v>
      </c>
      <c r="G1197" s="14">
        <v>-12.487928491400801</v>
      </c>
      <c r="H1197" s="14">
        <v>-10.425705433777612</v>
      </c>
      <c r="I1197" s="14">
        <v>-13.620975229904163</v>
      </c>
      <c r="J1197" s="14">
        <v>-14.92897150526105</v>
      </c>
    </row>
    <row r="1198" spans="1:10" ht="15.75" x14ac:dyDescent="0.5">
      <c r="A1198" s="13" t="s">
        <v>308</v>
      </c>
      <c r="B1198" s="13" t="s">
        <v>399</v>
      </c>
      <c r="C1198" s="13" t="s">
        <v>400</v>
      </c>
      <c r="D1198" s="14">
        <v>7.2499064625597889</v>
      </c>
      <c r="E1198" s="14">
        <v>0.20898235810272259</v>
      </c>
      <c r="F1198" s="14">
        <v>0.51246000000000103</v>
      </c>
      <c r="G1198" s="14">
        <v>0.68594668339354115</v>
      </c>
      <c r="H1198" s="14">
        <v>0.81647845973830901</v>
      </c>
      <c r="I1198" s="14">
        <v>0.70031823933479298</v>
      </c>
      <c r="J1198" s="14">
        <v>0.52435401459854114</v>
      </c>
    </row>
    <row r="1199" spans="1:10" ht="15.75" x14ac:dyDescent="0.5">
      <c r="A1199" s="13" t="s">
        <v>308</v>
      </c>
      <c r="B1199" s="13" t="s">
        <v>401</v>
      </c>
      <c r="C1199" s="13" t="s">
        <v>400</v>
      </c>
      <c r="D1199" s="14" t="s">
        <v>250</v>
      </c>
      <c r="E1199" s="14" t="s">
        <v>250</v>
      </c>
      <c r="F1199" s="14">
        <v>80.606041086562598</v>
      </c>
      <c r="G1199" s="14">
        <v>80.606041086562612</v>
      </c>
      <c r="H1199" s="14">
        <v>20.559928183706131</v>
      </c>
      <c r="I1199" s="14">
        <v>16.815707601888782</v>
      </c>
      <c r="J1199" s="14" t="s">
        <v>250</v>
      </c>
    </row>
    <row r="1200" spans="1:10" ht="15.75" x14ac:dyDescent="0.5">
      <c r="A1200" s="13" t="s">
        <v>308</v>
      </c>
      <c r="B1200" s="13" t="s">
        <v>402</v>
      </c>
      <c r="C1200" s="13" t="s">
        <v>400</v>
      </c>
      <c r="D1200" s="14">
        <v>1072.9916742877463</v>
      </c>
      <c r="E1200" s="14">
        <v>397.22044903507509</v>
      </c>
      <c r="F1200" s="14">
        <v>208.32001490827014</v>
      </c>
      <c r="G1200" s="14">
        <v>292.28007438023394</v>
      </c>
      <c r="H1200" s="14">
        <v>303.84102580606299</v>
      </c>
      <c r="I1200" s="14">
        <v>284.67828341119349</v>
      </c>
      <c r="J1200" s="14">
        <v>171.00917382346404</v>
      </c>
    </row>
    <row r="1201" spans="1:10" ht="15.75" x14ac:dyDescent="0.5">
      <c r="A1201" s="13" t="s">
        <v>308</v>
      </c>
      <c r="B1201" s="13" t="s">
        <v>403</v>
      </c>
      <c r="C1201" s="13" t="s">
        <v>400</v>
      </c>
      <c r="D1201" s="14" t="s">
        <v>250</v>
      </c>
      <c r="E1201" s="14" t="s">
        <v>250</v>
      </c>
      <c r="F1201" s="14">
        <v>23.704105371130805</v>
      </c>
      <c r="G1201" s="14">
        <v>23.704105371130797</v>
      </c>
      <c r="H1201" s="14">
        <v>4.7735064430294134</v>
      </c>
      <c r="I1201" s="14">
        <v>4.7735064430294134</v>
      </c>
      <c r="J1201" s="14" t="s">
        <v>250</v>
      </c>
    </row>
    <row r="1202" spans="1:10" ht="15.75" x14ac:dyDescent="0.5">
      <c r="A1202" s="13" t="s">
        <v>308</v>
      </c>
      <c r="B1202" s="13" t="s">
        <v>404</v>
      </c>
      <c r="C1202" s="13" t="s">
        <v>400</v>
      </c>
      <c r="D1202" s="14" t="s">
        <v>250</v>
      </c>
      <c r="E1202" s="14" t="s">
        <v>250</v>
      </c>
      <c r="F1202" s="14" t="s">
        <v>250</v>
      </c>
      <c r="G1202" s="14" t="s">
        <v>250</v>
      </c>
      <c r="H1202" s="14" t="s">
        <v>250</v>
      </c>
      <c r="I1202" s="14">
        <v>0.33069896914528535</v>
      </c>
      <c r="J1202" s="14">
        <v>0.33069896914528535</v>
      </c>
    </row>
    <row r="1203" spans="1:10" ht="15.75" x14ac:dyDescent="0.5">
      <c r="A1203" s="13" t="s">
        <v>308</v>
      </c>
      <c r="B1203" s="13" t="s">
        <v>405</v>
      </c>
      <c r="C1203" s="13" t="s">
        <v>400</v>
      </c>
      <c r="D1203" s="14">
        <v>1259.3891290889953</v>
      </c>
      <c r="E1203" s="14">
        <v>1335.3332215907737</v>
      </c>
      <c r="F1203" s="14">
        <v>1473.5551289420991</v>
      </c>
      <c r="G1203" s="14">
        <v>1741.9029498418502</v>
      </c>
      <c r="H1203" s="14">
        <v>1972.813411958085</v>
      </c>
      <c r="I1203" s="14">
        <v>1721.0566342345423</v>
      </c>
      <c r="J1203" s="14">
        <v>1392.1571547359779</v>
      </c>
    </row>
    <row r="1204" spans="1:10" ht="15.75" x14ac:dyDescent="0.5">
      <c r="A1204" s="13" t="s">
        <v>308</v>
      </c>
      <c r="B1204" s="13" t="s">
        <v>406</v>
      </c>
      <c r="C1204" s="13" t="s">
        <v>400</v>
      </c>
      <c r="D1204" s="14">
        <v>23.479196814299332</v>
      </c>
      <c r="E1204" s="14">
        <v>20.898034962074984</v>
      </c>
      <c r="F1204" s="14">
        <v>42.659781897838194</v>
      </c>
      <c r="G1204" s="14">
        <v>42.373205921182368</v>
      </c>
      <c r="H1204" s="14">
        <v>42.813520920841896</v>
      </c>
      <c r="I1204" s="14">
        <v>40.730439161936907</v>
      </c>
      <c r="J1204" s="14">
        <v>36.782412061057379</v>
      </c>
    </row>
    <row r="1205" spans="1:10" ht="15.75" x14ac:dyDescent="0.5">
      <c r="A1205" s="13" t="s">
        <v>308</v>
      </c>
      <c r="B1205" s="13" t="s">
        <v>407</v>
      </c>
      <c r="C1205" s="13" t="s">
        <v>400</v>
      </c>
      <c r="D1205" s="14" t="s">
        <v>250</v>
      </c>
      <c r="E1205" s="14">
        <v>111.35553084243573</v>
      </c>
      <c r="F1205" s="14">
        <v>62.949258443113273</v>
      </c>
      <c r="G1205" s="14">
        <v>169.62674328164107</v>
      </c>
      <c r="H1205" s="14">
        <v>87.219823618452466</v>
      </c>
      <c r="I1205" s="14">
        <v>27.12474256385201</v>
      </c>
      <c r="J1205" s="14">
        <v>5.8611111111111205</v>
      </c>
    </row>
    <row r="1206" spans="1:10" ht="15.75" x14ac:dyDescent="0.5">
      <c r="A1206" s="13" t="s">
        <v>308</v>
      </c>
      <c r="B1206" s="13" t="s">
        <v>408</v>
      </c>
      <c r="C1206" s="13" t="s">
        <v>400</v>
      </c>
      <c r="D1206" s="14">
        <v>46.892290321001241</v>
      </c>
      <c r="E1206" s="14">
        <v>35.084419653708785</v>
      </c>
      <c r="F1206" s="14">
        <v>31.857697750735326</v>
      </c>
      <c r="G1206" s="14">
        <v>45.013138947180586</v>
      </c>
      <c r="H1206" s="14">
        <v>44.326034135289625</v>
      </c>
      <c r="I1206" s="14">
        <v>42.796833722627817</v>
      </c>
      <c r="J1206" s="14">
        <v>41.108047177480692</v>
      </c>
    </row>
    <row r="1207" spans="1:10" ht="15.75" x14ac:dyDescent="0.5">
      <c r="A1207" s="13" t="s">
        <v>308</v>
      </c>
      <c r="B1207" s="13" t="s">
        <v>409</v>
      </c>
      <c r="C1207" s="13" t="s">
        <v>400</v>
      </c>
      <c r="D1207" s="14">
        <v>18.365704270000034</v>
      </c>
      <c r="E1207" s="14">
        <v>18.365704270000034</v>
      </c>
      <c r="F1207" s="14">
        <v>18.36570427000003</v>
      </c>
      <c r="G1207" s="14">
        <v>18.365704270000034</v>
      </c>
      <c r="H1207" s="14">
        <v>18.36570427000003</v>
      </c>
      <c r="I1207" s="14">
        <v>18.365704270000037</v>
      </c>
      <c r="J1207" s="14">
        <v>18.365704270000037</v>
      </c>
    </row>
    <row r="1208" spans="1:10" ht="15.75" x14ac:dyDescent="0.5">
      <c r="A1208" s="13" t="s">
        <v>308</v>
      </c>
      <c r="B1208" s="13" t="s">
        <v>410</v>
      </c>
      <c r="C1208" s="13" t="s">
        <v>400</v>
      </c>
      <c r="D1208" s="14">
        <v>245.79356253202215</v>
      </c>
      <c r="E1208" s="14">
        <v>244.57206039297239</v>
      </c>
      <c r="F1208" s="14">
        <v>246.12445039394578</v>
      </c>
      <c r="G1208" s="14">
        <v>246.16997594139107</v>
      </c>
      <c r="H1208" s="14">
        <v>246.16997594139104</v>
      </c>
      <c r="I1208" s="14">
        <v>246.16997594139113</v>
      </c>
      <c r="J1208" s="14">
        <v>246.16997594139096</v>
      </c>
    </row>
    <row r="1209" spans="1:10" ht="15.75" x14ac:dyDescent="0.5">
      <c r="A1209" s="13" t="s">
        <v>308</v>
      </c>
      <c r="B1209" s="13" t="s">
        <v>411</v>
      </c>
      <c r="C1209" s="13" t="s">
        <v>400</v>
      </c>
      <c r="D1209" s="14">
        <v>7.1394000000000153</v>
      </c>
      <c r="E1209" s="14">
        <v>6.5517492134617221</v>
      </c>
      <c r="F1209" s="14">
        <v>1.9272000000000056</v>
      </c>
      <c r="G1209" s="14">
        <v>1.9272000000000058</v>
      </c>
      <c r="H1209" s="14">
        <v>1.9272000000000056</v>
      </c>
      <c r="I1209" s="14">
        <v>1.9272000000000056</v>
      </c>
      <c r="J1209" s="14">
        <v>1.9272000000000051</v>
      </c>
    </row>
    <row r="1210" spans="1:10" ht="15.75" x14ac:dyDescent="0.5">
      <c r="A1210" s="13" t="s">
        <v>308</v>
      </c>
      <c r="B1210" s="13" t="s">
        <v>412</v>
      </c>
      <c r="C1210" s="13" t="s">
        <v>400</v>
      </c>
      <c r="D1210" s="14">
        <v>760.72545968400175</v>
      </c>
      <c r="E1210" s="14">
        <v>753.06660420035359</v>
      </c>
      <c r="F1210" s="14">
        <v>651.6929100144298</v>
      </c>
      <c r="G1210" s="14">
        <v>712.21882491912993</v>
      </c>
      <c r="H1210" s="14">
        <v>955.37013410365989</v>
      </c>
      <c r="I1210" s="14">
        <v>1379.7204856454932</v>
      </c>
      <c r="J1210" s="14">
        <v>1446.005998870635</v>
      </c>
    </row>
    <row r="1211" spans="1:10" ht="15.75" x14ac:dyDescent="0.5">
      <c r="A1211" s="13" t="s">
        <v>308</v>
      </c>
      <c r="B1211" s="13" t="s">
        <v>413</v>
      </c>
      <c r="C1211" s="13" t="s">
        <v>400</v>
      </c>
      <c r="D1211" s="14">
        <v>23.702927619886136</v>
      </c>
      <c r="E1211" s="14">
        <v>20.17279558132055</v>
      </c>
      <c r="F1211" s="14">
        <v>6.0854350330448259</v>
      </c>
      <c r="G1211" s="14">
        <v>2.4744588123931233</v>
      </c>
      <c r="H1211" s="14">
        <v>1.2845410959478567</v>
      </c>
      <c r="I1211" s="14">
        <v>1.1236830329681946</v>
      </c>
      <c r="J1211" s="14">
        <v>0.67733936809307826</v>
      </c>
    </row>
    <row r="1212" spans="1:10" ht="15.75" x14ac:dyDescent="0.5">
      <c r="A1212" s="13" t="s">
        <v>308</v>
      </c>
      <c r="B1212" s="13" t="s">
        <v>414</v>
      </c>
      <c r="C1212" s="13" t="s">
        <v>400</v>
      </c>
      <c r="D1212" s="14">
        <v>0.68039077051095032</v>
      </c>
      <c r="E1212" s="14">
        <v>24.430349541099531</v>
      </c>
      <c r="F1212" s="14">
        <v>100.42121232047123</v>
      </c>
      <c r="G1212" s="14">
        <v>206.62207844671582</v>
      </c>
      <c r="H1212" s="14">
        <v>253.23534271171332</v>
      </c>
      <c r="I1212" s="14">
        <v>254.75471224629561</v>
      </c>
      <c r="J1212" s="14">
        <v>255.9311975341744</v>
      </c>
    </row>
    <row r="1213" spans="1:10" ht="15.75" x14ac:dyDescent="0.5">
      <c r="A1213" s="13" t="s">
        <v>308</v>
      </c>
      <c r="B1213" s="13" t="s">
        <v>415</v>
      </c>
      <c r="C1213" s="13" t="s">
        <v>400</v>
      </c>
      <c r="D1213" s="14">
        <v>440.53124483255579</v>
      </c>
      <c r="E1213" s="14">
        <v>873.8116147635975</v>
      </c>
      <c r="F1213" s="14">
        <v>1346.3766162575175</v>
      </c>
      <c r="G1213" s="14">
        <v>1413.8529803273468</v>
      </c>
      <c r="H1213" s="14">
        <v>1577.8588066872605</v>
      </c>
      <c r="I1213" s="14">
        <v>1825.9326192332583</v>
      </c>
      <c r="J1213" s="14">
        <v>2437.8513998700173</v>
      </c>
    </row>
    <row r="1214" spans="1:10" ht="15.75" x14ac:dyDescent="0.5">
      <c r="A1214" s="13" t="s">
        <v>308</v>
      </c>
      <c r="B1214" s="13" t="s">
        <v>416</v>
      </c>
      <c r="C1214" s="13" t="s">
        <v>400</v>
      </c>
      <c r="D1214" s="14" t="s">
        <v>250</v>
      </c>
      <c r="E1214" s="14">
        <v>70.934498682900738</v>
      </c>
      <c r="F1214" s="14">
        <v>100.19546122793699</v>
      </c>
      <c r="G1214" s="14">
        <v>127.69344447727379</v>
      </c>
      <c r="H1214" s="14">
        <v>145.88323771792335</v>
      </c>
      <c r="I1214" s="14">
        <v>165.77906731373233</v>
      </c>
      <c r="J1214" s="14">
        <v>186.28657305490813</v>
      </c>
    </row>
    <row r="1215" spans="1:10" ht="15.75" x14ac:dyDescent="0.5">
      <c r="A1215" s="13" t="s">
        <v>308</v>
      </c>
      <c r="B1215" s="13" t="s">
        <v>417</v>
      </c>
      <c r="C1215" s="13" t="s">
        <v>400</v>
      </c>
      <c r="D1215" s="14">
        <v>187.48709633408689</v>
      </c>
      <c r="E1215" s="14">
        <v>298.36286233429843</v>
      </c>
      <c r="F1215" s="14">
        <v>339.94935565504687</v>
      </c>
      <c r="G1215" s="14">
        <v>638.66530469211114</v>
      </c>
      <c r="H1215" s="14">
        <v>1255.3003626992045</v>
      </c>
      <c r="I1215" s="14">
        <v>1811.9075929059127</v>
      </c>
      <c r="J1215" s="14">
        <v>2230.6011091947707</v>
      </c>
    </row>
    <row r="1216" spans="1:10" ht="15.75" x14ac:dyDescent="0.5">
      <c r="A1216" s="13" t="s">
        <v>308</v>
      </c>
      <c r="B1216" s="13" t="s">
        <v>418</v>
      </c>
      <c r="C1216" s="13" t="s">
        <v>400</v>
      </c>
      <c r="D1216" s="14">
        <v>3.1841751731019534</v>
      </c>
      <c r="E1216" s="14">
        <v>3.1841751731019539</v>
      </c>
      <c r="F1216" s="14">
        <v>3.1841751731019534</v>
      </c>
      <c r="G1216" s="14">
        <v>3.184175173101953</v>
      </c>
      <c r="H1216" s="14">
        <v>3.1841751731019525</v>
      </c>
      <c r="I1216" s="14">
        <v>3.184175173101953</v>
      </c>
      <c r="J1216" s="14">
        <v>3.184175173101953</v>
      </c>
    </row>
    <row r="1217" spans="1:10" ht="15.75" x14ac:dyDescent="0.5">
      <c r="A1217" s="13" t="s">
        <v>308</v>
      </c>
      <c r="B1217" s="13" t="s">
        <v>419</v>
      </c>
      <c r="C1217" s="13" t="s">
        <v>400</v>
      </c>
      <c r="D1217" s="14">
        <v>0.54465920264079504</v>
      </c>
      <c r="E1217" s="14">
        <v>8.1579508795004383</v>
      </c>
      <c r="F1217" s="14">
        <v>21.377824539051872</v>
      </c>
      <c r="G1217" s="14">
        <v>62.453216972030631</v>
      </c>
      <c r="H1217" s="14">
        <v>147.48345215426872</v>
      </c>
      <c r="I1217" s="14">
        <v>327.77441210068514</v>
      </c>
      <c r="J1217" s="14">
        <v>570.91549912021628</v>
      </c>
    </row>
    <row r="1218" spans="1:10" ht="15.75" x14ac:dyDescent="0.5">
      <c r="A1218" s="13" t="s">
        <v>308</v>
      </c>
      <c r="B1218" s="13" t="s">
        <v>420</v>
      </c>
      <c r="C1218" s="13" t="s">
        <v>400</v>
      </c>
      <c r="D1218" s="14">
        <v>-13.987252957808344</v>
      </c>
      <c r="E1218" s="14">
        <v>-13.64607780273875</v>
      </c>
      <c r="F1218" s="14">
        <v>-13.528762859589003</v>
      </c>
      <c r="G1218" s="14">
        <v>-12.716602173700924</v>
      </c>
      <c r="H1218" s="14">
        <v>-10.63784122796854</v>
      </c>
      <c r="I1218" s="14">
        <v>-13.445353385525822</v>
      </c>
      <c r="J1218" s="14">
        <v>-15.315292699418652</v>
      </c>
    </row>
    <row r="1219" spans="1:10" ht="15.75" x14ac:dyDescent="0.5">
      <c r="A1219" s="13" t="s">
        <v>309</v>
      </c>
      <c r="B1219" s="13" t="s">
        <v>399</v>
      </c>
      <c r="C1219" s="13" t="s">
        <v>400</v>
      </c>
      <c r="D1219" s="14">
        <v>7.2499064625597889</v>
      </c>
      <c r="E1219" s="14">
        <v>0.20898235810272242</v>
      </c>
      <c r="F1219" s="14">
        <v>0.51246000000000114</v>
      </c>
      <c r="G1219" s="14">
        <v>0.6926592700729941</v>
      </c>
      <c r="H1219" s="14">
        <v>0.81393955907238846</v>
      </c>
      <c r="I1219" s="14">
        <v>1.2341297598476069</v>
      </c>
      <c r="J1219" s="14">
        <v>1.0472854423080733</v>
      </c>
    </row>
    <row r="1220" spans="1:10" ht="15.75" x14ac:dyDescent="0.5">
      <c r="A1220" s="13" t="s">
        <v>309</v>
      </c>
      <c r="B1220" s="13" t="s">
        <v>401</v>
      </c>
      <c r="C1220" s="13" t="s">
        <v>400</v>
      </c>
      <c r="D1220" s="14" t="s">
        <v>250</v>
      </c>
      <c r="E1220" s="14" t="s">
        <v>250</v>
      </c>
      <c r="F1220" s="14">
        <v>81.266695855542238</v>
      </c>
      <c r="G1220" s="14">
        <v>81.266695855542253</v>
      </c>
      <c r="H1220" s="14">
        <v>20.45214365997219</v>
      </c>
      <c r="I1220" s="14">
        <v>15.94157748449604</v>
      </c>
      <c r="J1220" s="14" t="s">
        <v>250</v>
      </c>
    </row>
    <row r="1221" spans="1:10" ht="15.75" x14ac:dyDescent="0.5">
      <c r="A1221" s="13" t="s">
        <v>309</v>
      </c>
      <c r="B1221" s="13" t="s">
        <v>402</v>
      </c>
      <c r="C1221" s="13" t="s">
        <v>400</v>
      </c>
      <c r="D1221" s="14">
        <v>1072.991674287746</v>
      </c>
      <c r="E1221" s="14">
        <v>397.0376577099176</v>
      </c>
      <c r="F1221" s="14">
        <v>208.85220732197385</v>
      </c>
      <c r="G1221" s="14">
        <v>288.99485024818648</v>
      </c>
      <c r="H1221" s="14">
        <v>300.85405323521178</v>
      </c>
      <c r="I1221" s="14">
        <v>301.3651171769327</v>
      </c>
      <c r="J1221" s="14">
        <v>228.63168370028492</v>
      </c>
    </row>
    <row r="1222" spans="1:10" ht="15.75" x14ac:dyDescent="0.5">
      <c r="A1222" s="13" t="s">
        <v>309</v>
      </c>
      <c r="B1222" s="13" t="s">
        <v>403</v>
      </c>
      <c r="C1222" s="13" t="s">
        <v>400</v>
      </c>
      <c r="D1222" s="14" t="s">
        <v>250</v>
      </c>
      <c r="E1222" s="14" t="s">
        <v>250</v>
      </c>
      <c r="F1222" s="14">
        <v>18.781450512000042</v>
      </c>
      <c r="G1222" s="14">
        <v>18.781450512000042</v>
      </c>
      <c r="H1222" s="14">
        <v>3.7868166000000087</v>
      </c>
      <c r="I1222" s="14">
        <v>3.7868166000000079</v>
      </c>
      <c r="J1222" s="14" t="s">
        <v>250</v>
      </c>
    </row>
    <row r="1223" spans="1:10" ht="15.75" x14ac:dyDescent="0.5">
      <c r="A1223" s="13" t="s">
        <v>309</v>
      </c>
      <c r="B1223" s="13" t="s">
        <v>404</v>
      </c>
      <c r="C1223" s="13" t="s">
        <v>400</v>
      </c>
      <c r="D1223" s="14" t="s">
        <v>250</v>
      </c>
      <c r="E1223" s="14" t="s">
        <v>250</v>
      </c>
      <c r="F1223" s="14" t="s">
        <v>250</v>
      </c>
      <c r="G1223" s="14" t="s">
        <v>250</v>
      </c>
      <c r="H1223" s="14" t="s">
        <v>250</v>
      </c>
      <c r="I1223" s="14">
        <v>0.3306989691452854</v>
      </c>
      <c r="J1223" s="14">
        <v>0.33069896914528535</v>
      </c>
    </row>
    <row r="1224" spans="1:10" ht="15.75" x14ac:dyDescent="0.5">
      <c r="A1224" s="13" t="s">
        <v>309</v>
      </c>
      <c r="B1224" s="13" t="s">
        <v>421</v>
      </c>
      <c r="C1224" s="13" t="s">
        <v>400</v>
      </c>
      <c r="D1224" s="14" t="s">
        <v>250</v>
      </c>
      <c r="E1224" s="14" t="s">
        <v>250</v>
      </c>
      <c r="F1224" s="14" t="s">
        <v>250</v>
      </c>
      <c r="G1224" s="14">
        <v>16.104850157030235</v>
      </c>
      <c r="H1224" s="14">
        <v>43.40949442472845</v>
      </c>
      <c r="I1224" s="14">
        <v>43.40949442472845</v>
      </c>
      <c r="J1224" s="14">
        <v>6.8541306986413373</v>
      </c>
    </row>
    <row r="1225" spans="1:10" ht="15.75" x14ac:dyDescent="0.5">
      <c r="A1225" s="13" t="s">
        <v>309</v>
      </c>
      <c r="B1225" s="13" t="s">
        <v>405</v>
      </c>
      <c r="C1225" s="13" t="s">
        <v>400</v>
      </c>
      <c r="D1225" s="14">
        <v>1259.3891290889951</v>
      </c>
      <c r="E1225" s="14">
        <v>1339.0022880937852</v>
      </c>
      <c r="F1225" s="14">
        <v>1492.7121242431074</v>
      </c>
      <c r="G1225" s="14">
        <v>1737.3827868725207</v>
      </c>
      <c r="H1225" s="14">
        <v>2065.6549984620879</v>
      </c>
      <c r="I1225" s="14">
        <v>2014.7351056921591</v>
      </c>
      <c r="J1225" s="14">
        <v>1739.3588477801288</v>
      </c>
    </row>
    <row r="1226" spans="1:10" ht="15.75" x14ac:dyDescent="0.5">
      <c r="A1226" s="13" t="s">
        <v>309</v>
      </c>
      <c r="B1226" s="13" t="s">
        <v>406</v>
      </c>
      <c r="C1226" s="13" t="s">
        <v>400</v>
      </c>
      <c r="D1226" s="14">
        <v>23.479196814299328</v>
      </c>
      <c r="E1226" s="14">
        <v>20.825986800666879</v>
      </c>
      <c r="F1226" s="14">
        <v>42.581552982562805</v>
      </c>
      <c r="G1226" s="14">
        <v>41.89403154287735</v>
      </c>
      <c r="H1226" s="14">
        <v>42.137915448506504</v>
      </c>
      <c r="I1226" s="14">
        <v>40.048541016563846</v>
      </c>
      <c r="J1226" s="14">
        <v>35.816758133601439</v>
      </c>
    </row>
    <row r="1227" spans="1:10" ht="15.75" x14ac:dyDescent="0.5">
      <c r="A1227" s="13" t="s">
        <v>309</v>
      </c>
      <c r="B1227" s="13" t="s">
        <v>407</v>
      </c>
      <c r="C1227" s="13" t="s">
        <v>400</v>
      </c>
      <c r="D1227" s="14" t="s">
        <v>250</v>
      </c>
      <c r="E1227" s="14">
        <v>113.11631973800826</v>
      </c>
      <c r="F1227" s="14">
        <v>62.288092937501411</v>
      </c>
      <c r="G1227" s="14">
        <v>168.50995720184937</v>
      </c>
      <c r="H1227" s="14">
        <v>104.05033418910962</v>
      </c>
      <c r="I1227" s="14">
        <v>35.570708143648815</v>
      </c>
      <c r="J1227" s="14">
        <v>8.114708333333347</v>
      </c>
    </row>
    <row r="1228" spans="1:10" ht="15.75" x14ac:dyDescent="0.5">
      <c r="A1228" s="13" t="s">
        <v>309</v>
      </c>
      <c r="B1228" s="13" t="s">
        <v>408</v>
      </c>
      <c r="C1228" s="13" t="s">
        <v>400</v>
      </c>
      <c r="D1228" s="14">
        <v>46.892290321001241</v>
      </c>
      <c r="E1228" s="14">
        <v>35.117450122098248</v>
      </c>
      <c r="F1228" s="14">
        <v>31.81031547698943</v>
      </c>
      <c r="G1228" s="14">
        <v>45.073400904825682</v>
      </c>
      <c r="H1228" s="14">
        <v>44.730537956668051</v>
      </c>
      <c r="I1228" s="14">
        <v>43.752386560879906</v>
      </c>
      <c r="J1228" s="14">
        <v>42.218546608284598</v>
      </c>
    </row>
    <row r="1229" spans="1:10" ht="15.75" x14ac:dyDescent="0.5">
      <c r="A1229" s="13" t="s">
        <v>309</v>
      </c>
      <c r="B1229" s="13" t="s">
        <v>409</v>
      </c>
      <c r="C1229" s="13" t="s">
        <v>400</v>
      </c>
      <c r="D1229" s="14">
        <v>18.365704270000034</v>
      </c>
      <c r="E1229" s="14">
        <v>18.36570427000003</v>
      </c>
      <c r="F1229" s="14">
        <v>18.36570427000003</v>
      </c>
      <c r="G1229" s="14">
        <v>18.365704270000037</v>
      </c>
      <c r="H1229" s="14">
        <v>18.365704270000034</v>
      </c>
      <c r="I1229" s="14">
        <v>18.365704270000037</v>
      </c>
      <c r="J1229" s="14">
        <v>18.365704270000041</v>
      </c>
    </row>
    <row r="1230" spans="1:10" ht="15.75" x14ac:dyDescent="0.5">
      <c r="A1230" s="13" t="s">
        <v>309</v>
      </c>
      <c r="B1230" s="13" t="s">
        <v>410</v>
      </c>
      <c r="C1230" s="13" t="s">
        <v>400</v>
      </c>
      <c r="D1230" s="14">
        <v>245.79356253202215</v>
      </c>
      <c r="E1230" s="14">
        <v>244.56999700545168</v>
      </c>
      <c r="F1230" s="14">
        <v>246.11101315428536</v>
      </c>
      <c r="G1230" s="14">
        <v>246.16997594139099</v>
      </c>
      <c r="H1230" s="14">
        <v>246.16997594139096</v>
      </c>
      <c r="I1230" s="14">
        <v>246.1699759413911</v>
      </c>
      <c r="J1230" s="14">
        <v>246.16997594139099</v>
      </c>
    </row>
    <row r="1231" spans="1:10" ht="15.75" x14ac:dyDescent="0.5">
      <c r="A1231" s="13" t="s">
        <v>309</v>
      </c>
      <c r="B1231" s="13" t="s">
        <v>411</v>
      </c>
      <c r="C1231" s="13" t="s">
        <v>400</v>
      </c>
      <c r="D1231" s="14">
        <v>7.1394000000000171</v>
      </c>
      <c r="E1231" s="14">
        <v>6.5475272783932166</v>
      </c>
      <c r="F1231" s="14">
        <v>1.9272000000000058</v>
      </c>
      <c r="G1231" s="14">
        <v>1.9272000000000051</v>
      </c>
      <c r="H1231" s="14">
        <v>1.9272000000000051</v>
      </c>
      <c r="I1231" s="14">
        <v>1.9272000000000054</v>
      </c>
      <c r="J1231" s="14">
        <v>1.9272000000000051</v>
      </c>
    </row>
    <row r="1232" spans="1:10" ht="15.75" x14ac:dyDescent="0.5">
      <c r="A1232" s="13" t="s">
        <v>309</v>
      </c>
      <c r="B1232" s="13" t="s">
        <v>412</v>
      </c>
      <c r="C1232" s="13" t="s">
        <v>400</v>
      </c>
      <c r="D1232" s="14">
        <v>760.72545968400163</v>
      </c>
      <c r="E1232" s="14">
        <v>748.12746485588184</v>
      </c>
      <c r="F1232" s="14">
        <v>633.62914616668252</v>
      </c>
      <c r="G1232" s="14">
        <v>695.52663622103444</v>
      </c>
      <c r="H1232" s="14">
        <v>706.71094305434849</v>
      </c>
      <c r="I1232" s="14">
        <v>702.74179893252835</v>
      </c>
      <c r="J1232" s="14">
        <v>689.35154502447779</v>
      </c>
    </row>
    <row r="1233" spans="1:10" ht="15.75" x14ac:dyDescent="0.5">
      <c r="A1233" s="13" t="s">
        <v>309</v>
      </c>
      <c r="B1233" s="13" t="s">
        <v>413</v>
      </c>
      <c r="C1233" s="13" t="s">
        <v>400</v>
      </c>
      <c r="D1233" s="14">
        <v>23.702927619886136</v>
      </c>
      <c r="E1233" s="14">
        <v>19.962393687664019</v>
      </c>
      <c r="F1233" s="14">
        <v>6.1276580593791961</v>
      </c>
      <c r="G1233" s="14">
        <v>2.5977653881391731</v>
      </c>
      <c r="H1233" s="14">
        <v>1.2974618294404086</v>
      </c>
      <c r="I1233" s="14">
        <v>1.2059815019394267</v>
      </c>
      <c r="J1233" s="14">
        <v>0.70876973307230573</v>
      </c>
    </row>
    <row r="1234" spans="1:10" ht="15.75" x14ac:dyDescent="0.5">
      <c r="A1234" s="13" t="s">
        <v>309</v>
      </c>
      <c r="B1234" s="13" t="s">
        <v>414</v>
      </c>
      <c r="C1234" s="13" t="s">
        <v>400</v>
      </c>
      <c r="D1234" s="14">
        <v>0.6803907705109502</v>
      </c>
      <c r="E1234" s="14">
        <v>24.430349586525203</v>
      </c>
      <c r="F1234" s="14">
        <v>100.39504893686153</v>
      </c>
      <c r="G1234" s="14">
        <v>206.5500738898981</v>
      </c>
      <c r="H1234" s="14">
        <v>253.16269292817097</v>
      </c>
      <c r="I1234" s="14">
        <v>254.68158197476686</v>
      </c>
      <c r="J1234" s="14">
        <v>255.85769660048481</v>
      </c>
    </row>
    <row r="1235" spans="1:10" ht="15.75" x14ac:dyDescent="0.5">
      <c r="A1235" s="13" t="s">
        <v>309</v>
      </c>
      <c r="B1235" s="13" t="s">
        <v>415</v>
      </c>
      <c r="C1235" s="13" t="s">
        <v>400</v>
      </c>
      <c r="D1235" s="14">
        <v>440.53124483255561</v>
      </c>
      <c r="E1235" s="14">
        <v>873.81161464141201</v>
      </c>
      <c r="F1235" s="14">
        <v>1351.0211383211977</v>
      </c>
      <c r="G1235" s="14">
        <v>1432.0710806455522</v>
      </c>
      <c r="H1235" s="14">
        <v>1627.6709260233065</v>
      </c>
      <c r="I1235" s="14">
        <v>1947.0125102100153</v>
      </c>
      <c r="J1235" s="14">
        <v>2576.4389772959476</v>
      </c>
    </row>
    <row r="1236" spans="1:10" ht="15.75" x14ac:dyDescent="0.5">
      <c r="A1236" s="13" t="s">
        <v>309</v>
      </c>
      <c r="B1236" s="13" t="s">
        <v>416</v>
      </c>
      <c r="C1236" s="13" t="s">
        <v>400</v>
      </c>
      <c r="D1236" s="14" t="s">
        <v>250</v>
      </c>
      <c r="E1236" s="14">
        <v>70.934498682900738</v>
      </c>
      <c r="F1236" s="14">
        <v>100.19546122793699</v>
      </c>
      <c r="G1236" s="14">
        <v>127.6934444772738</v>
      </c>
      <c r="H1236" s="14">
        <v>145.88323771792344</v>
      </c>
      <c r="I1236" s="14">
        <v>165.7790673137323</v>
      </c>
      <c r="J1236" s="14">
        <v>186.28657305490802</v>
      </c>
    </row>
    <row r="1237" spans="1:10" ht="15.75" x14ac:dyDescent="0.5">
      <c r="A1237" s="13" t="s">
        <v>309</v>
      </c>
      <c r="B1237" s="13" t="s">
        <v>417</v>
      </c>
      <c r="C1237" s="13" t="s">
        <v>400</v>
      </c>
      <c r="D1237" s="14">
        <v>187.48709633408686</v>
      </c>
      <c r="E1237" s="14">
        <v>298.36286233429848</v>
      </c>
      <c r="F1237" s="14">
        <v>340.10057295725613</v>
      </c>
      <c r="G1237" s="14">
        <v>636.67190732676511</v>
      </c>
      <c r="H1237" s="14">
        <v>1319.0418500930803</v>
      </c>
      <c r="I1237" s="14">
        <v>2043.4109329857756</v>
      </c>
      <c r="J1237" s="14">
        <v>2481.6340884609458</v>
      </c>
    </row>
    <row r="1238" spans="1:10" ht="15.75" x14ac:dyDescent="0.5">
      <c r="A1238" s="13" t="s">
        <v>309</v>
      </c>
      <c r="B1238" s="13" t="s">
        <v>418</v>
      </c>
      <c r="C1238" s="13" t="s">
        <v>400</v>
      </c>
      <c r="D1238" s="14">
        <v>3.1841751731019534</v>
      </c>
      <c r="E1238" s="14">
        <v>3.1841751731019534</v>
      </c>
      <c r="F1238" s="14">
        <v>3.184175173101953</v>
      </c>
      <c r="G1238" s="14">
        <v>3.184175173101953</v>
      </c>
      <c r="H1238" s="14">
        <v>3.1841751731019543</v>
      </c>
      <c r="I1238" s="14">
        <v>3.1841751731019534</v>
      </c>
      <c r="J1238" s="14">
        <v>3.184175173101953</v>
      </c>
    </row>
    <row r="1239" spans="1:10" ht="15.75" x14ac:dyDescent="0.5">
      <c r="A1239" s="13" t="s">
        <v>309</v>
      </c>
      <c r="B1239" s="13" t="s">
        <v>419</v>
      </c>
      <c r="C1239" s="13" t="s">
        <v>400</v>
      </c>
      <c r="D1239" s="14">
        <v>0.54465920264079504</v>
      </c>
      <c r="E1239" s="14">
        <v>8.1320869975326531</v>
      </c>
      <c r="F1239" s="14">
        <v>22.262434891694429</v>
      </c>
      <c r="G1239" s="14">
        <v>64.383418119641902</v>
      </c>
      <c r="H1239" s="14">
        <v>204.15179848774437</v>
      </c>
      <c r="I1239" s="14">
        <v>499.05061020573987</v>
      </c>
      <c r="J1239" s="14">
        <v>815.09769428970981</v>
      </c>
    </row>
    <row r="1240" spans="1:10" ht="15.75" x14ac:dyDescent="0.5">
      <c r="A1240" s="13" t="s">
        <v>309</v>
      </c>
      <c r="B1240" s="13" t="s">
        <v>420</v>
      </c>
      <c r="C1240" s="13" t="s">
        <v>400</v>
      </c>
      <c r="D1240" s="14">
        <v>-13.987252957808412</v>
      </c>
      <c r="E1240" s="14">
        <v>-13.554008118989334</v>
      </c>
      <c r="F1240" s="14">
        <v>-12.95523000433499</v>
      </c>
      <c r="G1240" s="14">
        <v>-12.576695784992447</v>
      </c>
      <c r="H1240" s="14">
        <v>-10.449371205144885</v>
      </c>
      <c r="I1240" s="14">
        <v>-13.448067138407783</v>
      </c>
      <c r="J1240" s="14">
        <v>-14.923826616240362</v>
      </c>
    </row>
    <row r="1241" spans="1:10" ht="15.75" x14ac:dyDescent="0.5">
      <c r="A1241" s="13" t="s">
        <v>310</v>
      </c>
      <c r="B1241" s="13" t="s">
        <v>399</v>
      </c>
      <c r="C1241" s="13" t="s">
        <v>400</v>
      </c>
      <c r="D1241" s="14">
        <v>7.2499064625597889</v>
      </c>
      <c r="E1241" s="14">
        <v>0.20898235810272758</v>
      </c>
      <c r="F1241" s="14">
        <v>0.51246000000000103</v>
      </c>
      <c r="G1241" s="14">
        <v>0.69265927007299399</v>
      </c>
      <c r="H1241" s="14">
        <v>0.81393955907238835</v>
      </c>
      <c r="I1241" s="14">
        <v>1.234129759911534</v>
      </c>
      <c r="J1241" s="14">
        <v>1.0472854423080729</v>
      </c>
    </row>
    <row r="1242" spans="1:10" ht="15.75" x14ac:dyDescent="0.5">
      <c r="A1242" s="13" t="s">
        <v>310</v>
      </c>
      <c r="B1242" s="13" t="s">
        <v>401</v>
      </c>
      <c r="C1242" s="13" t="s">
        <v>400</v>
      </c>
      <c r="D1242" s="14" t="s">
        <v>250</v>
      </c>
      <c r="E1242" s="14" t="s">
        <v>250</v>
      </c>
      <c r="F1242" s="14">
        <v>81.266695833121588</v>
      </c>
      <c r="G1242" s="14">
        <v>81.266695833121631</v>
      </c>
      <c r="H1242" s="14">
        <v>20.452143463691343</v>
      </c>
      <c r="I1242" s="14">
        <v>15.941577282423536</v>
      </c>
      <c r="J1242" s="14" t="s">
        <v>250</v>
      </c>
    </row>
    <row r="1243" spans="1:10" ht="15.75" x14ac:dyDescent="0.5">
      <c r="A1243" s="13" t="s">
        <v>310</v>
      </c>
      <c r="B1243" s="13" t="s">
        <v>402</v>
      </c>
      <c r="C1243" s="13" t="s">
        <v>400</v>
      </c>
      <c r="D1243" s="14">
        <v>1072.9916742877463</v>
      </c>
      <c r="E1243" s="14">
        <v>397.03765795567449</v>
      </c>
      <c r="F1243" s="14">
        <v>208.8522072383056</v>
      </c>
      <c r="G1243" s="14">
        <v>288.99485104510165</v>
      </c>
      <c r="H1243" s="14">
        <v>300.8540559162322</v>
      </c>
      <c r="I1243" s="14">
        <v>301.36511743939064</v>
      </c>
      <c r="J1243" s="14">
        <v>228.63168281561678</v>
      </c>
    </row>
    <row r="1244" spans="1:10" ht="15.75" x14ac:dyDescent="0.5">
      <c r="A1244" s="13" t="s">
        <v>310</v>
      </c>
      <c r="B1244" s="13" t="s">
        <v>403</v>
      </c>
      <c r="C1244" s="13" t="s">
        <v>400</v>
      </c>
      <c r="D1244" s="14" t="s">
        <v>250</v>
      </c>
      <c r="E1244" s="14" t="s">
        <v>250</v>
      </c>
      <c r="F1244" s="14">
        <v>18.781450512000045</v>
      </c>
      <c r="G1244" s="14">
        <v>18.781450512000045</v>
      </c>
      <c r="H1244" s="14">
        <v>3.7868166000000079</v>
      </c>
      <c r="I1244" s="14">
        <v>3.7868166000000087</v>
      </c>
      <c r="J1244" s="14" t="s">
        <v>250</v>
      </c>
    </row>
    <row r="1245" spans="1:10" ht="15.75" x14ac:dyDescent="0.5">
      <c r="A1245" s="13" t="s">
        <v>310</v>
      </c>
      <c r="B1245" s="13" t="s">
        <v>404</v>
      </c>
      <c r="C1245" s="13" t="s">
        <v>400</v>
      </c>
      <c r="D1245" s="14" t="s">
        <v>250</v>
      </c>
      <c r="E1245" s="14" t="s">
        <v>250</v>
      </c>
      <c r="F1245" s="14" t="s">
        <v>250</v>
      </c>
      <c r="G1245" s="14" t="s">
        <v>250</v>
      </c>
      <c r="H1245" s="14" t="s">
        <v>250</v>
      </c>
      <c r="I1245" s="14">
        <v>0.33069896914528535</v>
      </c>
      <c r="J1245" s="14">
        <v>0.33069896914528535</v>
      </c>
    </row>
    <row r="1246" spans="1:10" ht="15.75" x14ac:dyDescent="0.5">
      <c r="A1246" s="13" t="s">
        <v>310</v>
      </c>
      <c r="B1246" s="13" t="s">
        <v>421</v>
      </c>
      <c r="C1246" s="13" t="s">
        <v>400</v>
      </c>
      <c r="D1246" s="14" t="s">
        <v>250</v>
      </c>
      <c r="E1246" s="14" t="s">
        <v>250</v>
      </c>
      <c r="F1246" s="14" t="s">
        <v>250</v>
      </c>
      <c r="G1246" s="14">
        <v>16.104850219480959</v>
      </c>
      <c r="H1246" s="14">
        <v>43.409494593059918</v>
      </c>
      <c r="I1246" s="14">
        <v>43.409494593059961</v>
      </c>
      <c r="J1246" s="14">
        <v>6.8541307252199966</v>
      </c>
    </row>
    <row r="1247" spans="1:10" ht="15.75" x14ac:dyDescent="0.5">
      <c r="A1247" s="13" t="s">
        <v>310</v>
      </c>
      <c r="B1247" s="13" t="s">
        <v>405</v>
      </c>
      <c r="C1247" s="13" t="s">
        <v>400</v>
      </c>
      <c r="D1247" s="14">
        <v>1259.3891290889944</v>
      </c>
      <c r="E1247" s="14">
        <v>1339.0022873632936</v>
      </c>
      <c r="F1247" s="14">
        <v>1492.7121245403521</v>
      </c>
      <c r="G1247" s="14">
        <v>1737.382786376648</v>
      </c>
      <c r="H1247" s="14">
        <v>2065.6549955712539</v>
      </c>
      <c r="I1247" s="14">
        <v>2014.7351056862001</v>
      </c>
      <c r="J1247" s="14">
        <v>1739.358844695477</v>
      </c>
    </row>
    <row r="1248" spans="1:10" ht="15.75" x14ac:dyDescent="0.5">
      <c r="A1248" s="13" t="s">
        <v>310</v>
      </c>
      <c r="B1248" s="13" t="s">
        <v>406</v>
      </c>
      <c r="C1248" s="13" t="s">
        <v>400</v>
      </c>
      <c r="D1248" s="14">
        <v>23.479196814299328</v>
      </c>
      <c r="E1248" s="14">
        <v>20.82598677436733</v>
      </c>
      <c r="F1248" s="14">
        <v>42.581552950770011</v>
      </c>
      <c r="G1248" s="14">
        <v>41.894031517672452</v>
      </c>
      <c r="H1248" s="14">
        <v>42.13791542878797</v>
      </c>
      <c r="I1248" s="14">
        <v>40.04854092970163</v>
      </c>
      <c r="J1248" s="14">
        <v>35.816758155113696</v>
      </c>
    </row>
    <row r="1249" spans="1:10" ht="15.75" x14ac:dyDescent="0.5">
      <c r="A1249" s="13" t="s">
        <v>310</v>
      </c>
      <c r="B1249" s="13" t="s">
        <v>407</v>
      </c>
      <c r="C1249" s="13" t="s">
        <v>400</v>
      </c>
      <c r="D1249" s="14" t="s">
        <v>250</v>
      </c>
      <c r="E1249" s="14">
        <v>113.11632021557698</v>
      </c>
      <c r="F1249" s="14">
        <v>62.288092757811107</v>
      </c>
      <c r="G1249" s="14">
        <v>168.50995709740275</v>
      </c>
      <c r="H1249" s="14">
        <v>104.05033362917064</v>
      </c>
      <c r="I1249" s="14">
        <v>35.57070817768868</v>
      </c>
      <c r="J1249" s="14">
        <v>8.114708333333347</v>
      </c>
    </row>
    <row r="1250" spans="1:10" ht="15.75" x14ac:dyDescent="0.5">
      <c r="A1250" s="13" t="s">
        <v>310</v>
      </c>
      <c r="B1250" s="13" t="s">
        <v>408</v>
      </c>
      <c r="C1250" s="13" t="s">
        <v>400</v>
      </c>
      <c r="D1250" s="14">
        <v>46.892290321001227</v>
      </c>
      <c r="E1250" s="14">
        <v>35.11745011064631</v>
      </c>
      <c r="F1250" s="14">
        <v>31.81031548518445</v>
      </c>
      <c r="G1250" s="14">
        <v>45.073400917671478</v>
      </c>
      <c r="H1250" s="14">
        <v>44.730538108472658</v>
      </c>
      <c r="I1250" s="14">
        <v>43.752386561634019</v>
      </c>
      <c r="J1250" s="14">
        <v>42.218543296078849</v>
      </c>
    </row>
    <row r="1251" spans="1:10" ht="15.75" x14ac:dyDescent="0.5">
      <c r="A1251" s="13" t="s">
        <v>310</v>
      </c>
      <c r="B1251" s="13" t="s">
        <v>409</v>
      </c>
      <c r="C1251" s="13" t="s">
        <v>400</v>
      </c>
      <c r="D1251" s="14">
        <v>18.365704270000034</v>
      </c>
      <c r="E1251" s="14">
        <v>18.365704270000034</v>
      </c>
      <c r="F1251" s="14">
        <v>18.365704270000034</v>
      </c>
      <c r="G1251" s="14">
        <v>18.365704270000034</v>
      </c>
      <c r="H1251" s="14">
        <v>18.365704270000034</v>
      </c>
      <c r="I1251" s="14">
        <v>18.365704270000027</v>
      </c>
      <c r="J1251" s="14">
        <v>18.365704270000045</v>
      </c>
    </row>
    <row r="1252" spans="1:10" ht="15.75" x14ac:dyDescent="0.5">
      <c r="A1252" s="13" t="s">
        <v>310</v>
      </c>
      <c r="B1252" s="13" t="s">
        <v>410</v>
      </c>
      <c r="C1252" s="13" t="s">
        <v>400</v>
      </c>
      <c r="D1252" s="14">
        <v>245.79356253202212</v>
      </c>
      <c r="E1252" s="14">
        <v>244.56999699496069</v>
      </c>
      <c r="F1252" s="14">
        <v>246.11101314391203</v>
      </c>
      <c r="G1252" s="14">
        <v>246.16997594138701</v>
      </c>
      <c r="H1252" s="14">
        <v>246.16997594139104</v>
      </c>
      <c r="I1252" s="14">
        <v>246.16997594139121</v>
      </c>
      <c r="J1252" s="14">
        <v>246.1699759413911</v>
      </c>
    </row>
    <row r="1253" spans="1:10" ht="15.75" x14ac:dyDescent="0.5">
      <c r="A1253" s="13" t="s">
        <v>310</v>
      </c>
      <c r="B1253" s="13" t="s">
        <v>411</v>
      </c>
      <c r="C1253" s="13" t="s">
        <v>400</v>
      </c>
      <c r="D1253" s="14">
        <v>7.139400000000018</v>
      </c>
      <c r="E1253" s="14">
        <v>6.5475272754456117</v>
      </c>
      <c r="F1253" s="14">
        <v>1.9272000000000056</v>
      </c>
      <c r="G1253" s="14">
        <v>1.9272000000000054</v>
      </c>
      <c r="H1253" s="14">
        <v>1.9272000000000058</v>
      </c>
      <c r="I1253" s="14">
        <v>1.9272000000000056</v>
      </c>
      <c r="J1253" s="14">
        <v>1.9272000000000054</v>
      </c>
    </row>
    <row r="1254" spans="1:10" ht="15.75" x14ac:dyDescent="0.5">
      <c r="A1254" s="13" t="s">
        <v>310</v>
      </c>
      <c r="B1254" s="13" t="s">
        <v>412</v>
      </c>
      <c r="C1254" s="13" t="s">
        <v>400</v>
      </c>
      <c r="D1254" s="14">
        <v>760.72545968400163</v>
      </c>
      <c r="E1254" s="14">
        <v>748.12746481918532</v>
      </c>
      <c r="F1254" s="14">
        <v>633.62914613365513</v>
      </c>
      <c r="G1254" s="14">
        <v>695.52663622134764</v>
      </c>
      <c r="H1254" s="14">
        <v>706.71094305440431</v>
      </c>
      <c r="I1254" s="14">
        <v>702.74179893258383</v>
      </c>
      <c r="J1254" s="14">
        <v>689.35155091322679</v>
      </c>
    </row>
    <row r="1255" spans="1:10" ht="15.75" x14ac:dyDescent="0.5">
      <c r="A1255" s="13" t="s">
        <v>310</v>
      </c>
      <c r="B1255" s="13" t="s">
        <v>413</v>
      </c>
      <c r="C1255" s="13" t="s">
        <v>400</v>
      </c>
      <c r="D1255" s="14">
        <v>23.702927619886136</v>
      </c>
      <c r="E1255" s="14">
        <v>19.962393685992723</v>
      </c>
      <c r="F1255" s="14">
        <v>6.1276580388865405</v>
      </c>
      <c r="G1255" s="14">
        <v>2.5977653880951581</v>
      </c>
      <c r="H1255" s="14">
        <v>1.2974618308706736</v>
      </c>
      <c r="I1255" s="14">
        <v>1.2059815029045959</v>
      </c>
      <c r="J1255" s="14">
        <v>0.70876973307230562</v>
      </c>
    </row>
    <row r="1256" spans="1:10" ht="15.75" x14ac:dyDescent="0.5">
      <c r="A1256" s="13" t="s">
        <v>310</v>
      </c>
      <c r="B1256" s="13" t="s">
        <v>414</v>
      </c>
      <c r="C1256" s="13" t="s">
        <v>400</v>
      </c>
      <c r="D1256" s="14">
        <v>0.6803907705109502</v>
      </c>
      <c r="E1256" s="14">
        <v>24.430349586525203</v>
      </c>
      <c r="F1256" s="14">
        <v>100.39504893686153</v>
      </c>
      <c r="G1256" s="14">
        <v>206.55007388989804</v>
      </c>
      <c r="H1256" s="14">
        <v>253.162692928171</v>
      </c>
      <c r="I1256" s="14">
        <v>254.68158197476683</v>
      </c>
      <c r="J1256" s="14">
        <v>255.85769660048479</v>
      </c>
    </row>
    <row r="1257" spans="1:10" ht="15.75" x14ac:dyDescent="0.5">
      <c r="A1257" s="13" t="s">
        <v>310</v>
      </c>
      <c r="B1257" s="13" t="s">
        <v>415</v>
      </c>
      <c r="C1257" s="13" t="s">
        <v>400</v>
      </c>
      <c r="D1257" s="14">
        <v>440.53124483255556</v>
      </c>
      <c r="E1257" s="14">
        <v>873.81161464141189</v>
      </c>
      <c r="F1257" s="14">
        <v>1351.021138370814</v>
      </c>
      <c r="G1257" s="14">
        <v>1432.0710805129611</v>
      </c>
      <c r="H1257" s="14">
        <v>1627.6709243643913</v>
      </c>
      <c r="I1257" s="14">
        <v>1947.0125113855456</v>
      </c>
      <c r="J1257" s="14">
        <v>2576.4389852313961</v>
      </c>
    </row>
    <row r="1258" spans="1:10" ht="15.75" x14ac:dyDescent="0.5">
      <c r="A1258" s="13" t="s">
        <v>310</v>
      </c>
      <c r="B1258" s="13" t="s">
        <v>416</v>
      </c>
      <c r="C1258" s="13" t="s">
        <v>400</v>
      </c>
      <c r="D1258" s="14" t="s">
        <v>250</v>
      </c>
      <c r="E1258" s="14">
        <v>70.934498682900752</v>
      </c>
      <c r="F1258" s="14">
        <v>100.19546122793703</v>
      </c>
      <c r="G1258" s="14">
        <v>127.69344447727374</v>
      </c>
      <c r="H1258" s="14">
        <v>145.88323771792352</v>
      </c>
      <c r="I1258" s="14">
        <v>165.77906731373227</v>
      </c>
      <c r="J1258" s="14">
        <v>186.28657305490805</v>
      </c>
    </row>
    <row r="1259" spans="1:10" ht="15.75" x14ac:dyDescent="0.5">
      <c r="A1259" s="13" t="s">
        <v>310</v>
      </c>
      <c r="B1259" s="13" t="s">
        <v>417</v>
      </c>
      <c r="C1259" s="13" t="s">
        <v>400</v>
      </c>
      <c r="D1259" s="14">
        <v>187.48709633408691</v>
      </c>
      <c r="E1259" s="14">
        <v>298.36286233429826</v>
      </c>
      <c r="F1259" s="14">
        <v>340.10057295725863</v>
      </c>
      <c r="G1259" s="14">
        <v>636.67190710732802</v>
      </c>
      <c r="H1259" s="14">
        <v>1319.0418525988403</v>
      </c>
      <c r="I1259" s="14">
        <v>2043.4109310392519</v>
      </c>
      <c r="J1259" s="14">
        <v>2481.6340795900683</v>
      </c>
    </row>
    <row r="1260" spans="1:10" ht="15.75" x14ac:dyDescent="0.5">
      <c r="A1260" s="13" t="s">
        <v>310</v>
      </c>
      <c r="B1260" s="13" t="s">
        <v>418</v>
      </c>
      <c r="C1260" s="13" t="s">
        <v>400</v>
      </c>
      <c r="D1260" s="14">
        <v>3.1841751731019534</v>
      </c>
      <c r="E1260" s="14">
        <v>3.1841751731019534</v>
      </c>
      <c r="F1260" s="14">
        <v>3.1841751731019539</v>
      </c>
      <c r="G1260" s="14">
        <v>3.1841751731019534</v>
      </c>
      <c r="H1260" s="14">
        <v>3.1841751731019539</v>
      </c>
      <c r="I1260" s="14">
        <v>3.184175173101953</v>
      </c>
      <c r="J1260" s="14">
        <v>3.1841751731019534</v>
      </c>
    </row>
    <row r="1261" spans="1:10" ht="15.75" x14ac:dyDescent="0.5">
      <c r="A1261" s="13" t="s">
        <v>310</v>
      </c>
      <c r="B1261" s="13" t="s">
        <v>419</v>
      </c>
      <c r="C1261" s="13" t="s">
        <v>400</v>
      </c>
      <c r="D1261" s="14">
        <v>0.54465920264079504</v>
      </c>
      <c r="E1261" s="14">
        <v>8.1320869992562859</v>
      </c>
      <c r="F1261" s="14">
        <v>22.262492176195938</v>
      </c>
      <c r="G1261" s="14">
        <v>64.383465618362067</v>
      </c>
      <c r="H1261" s="14">
        <v>204.15235120933724</v>
      </c>
      <c r="I1261" s="14">
        <v>499.05063637759974</v>
      </c>
      <c r="J1261" s="14">
        <v>815.09769311515367</v>
      </c>
    </row>
    <row r="1262" spans="1:10" ht="15.75" x14ac:dyDescent="0.5">
      <c r="A1262" s="13" t="s">
        <v>310</v>
      </c>
      <c r="B1262" s="13" t="s">
        <v>420</v>
      </c>
      <c r="C1262" s="13" t="s">
        <v>400</v>
      </c>
      <c r="D1262" s="14">
        <v>-13.98725295780843</v>
      </c>
      <c r="E1262" s="14">
        <v>-13.552398519450531</v>
      </c>
      <c r="F1262" s="14">
        <v>-12.968290661341403</v>
      </c>
      <c r="G1262" s="14">
        <v>-12.582584518756804</v>
      </c>
      <c r="H1262" s="14">
        <v>-10.451768043645982</v>
      </c>
      <c r="I1262" s="14">
        <v>-13.448067152498044</v>
      </c>
      <c r="J1262" s="14">
        <v>-14.924429207075198</v>
      </c>
    </row>
    <row r="1263" spans="1:10" ht="15.75" x14ac:dyDescent="0.5">
      <c r="A1263" s="13" t="s">
        <v>311</v>
      </c>
      <c r="B1263" s="13" t="s">
        <v>399</v>
      </c>
      <c r="C1263" s="13" t="s">
        <v>400</v>
      </c>
      <c r="D1263" s="14">
        <v>7.249906462559788</v>
      </c>
      <c r="E1263" s="14">
        <v>0.20898235810271665</v>
      </c>
      <c r="F1263" s="14">
        <v>0.51246000000000114</v>
      </c>
      <c r="G1263" s="14">
        <v>0.68594668339354103</v>
      </c>
      <c r="H1263" s="14">
        <v>0.83118910948905278</v>
      </c>
      <c r="I1263" s="14">
        <v>0.63399913206191938</v>
      </c>
      <c r="J1263" s="14">
        <v>0.5220638053716179</v>
      </c>
    </row>
    <row r="1264" spans="1:10" ht="15.75" x14ac:dyDescent="0.5">
      <c r="A1264" s="13" t="s">
        <v>311</v>
      </c>
      <c r="B1264" s="13" t="s">
        <v>401</v>
      </c>
      <c r="C1264" s="13" t="s">
        <v>400</v>
      </c>
      <c r="D1264" s="14" t="s">
        <v>250</v>
      </c>
      <c r="E1264" s="14" t="s">
        <v>250</v>
      </c>
      <c r="F1264" s="14">
        <v>79.801567636747279</v>
      </c>
      <c r="G1264" s="14">
        <v>79.801567636747308</v>
      </c>
      <c r="H1264" s="14">
        <v>19.754010797619522</v>
      </c>
      <c r="I1264" s="14">
        <v>15.349487697423104</v>
      </c>
      <c r="J1264" s="14" t="s">
        <v>250</v>
      </c>
    </row>
    <row r="1265" spans="1:10" ht="15.75" x14ac:dyDescent="0.5">
      <c r="A1265" s="13" t="s">
        <v>311</v>
      </c>
      <c r="B1265" s="13" t="s">
        <v>402</v>
      </c>
      <c r="C1265" s="13" t="s">
        <v>400</v>
      </c>
      <c r="D1265" s="14">
        <v>1072.9916742877465</v>
      </c>
      <c r="E1265" s="14">
        <v>397.27161863262791</v>
      </c>
      <c r="F1265" s="14">
        <v>209.49202065560041</v>
      </c>
      <c r="G1265" s="14">
        <v>293.42102743243697</v>
      </c>
      <c r="H1265" s="14">
        <v>304.79285125005305</v>
      </c>
      <c r="I1265" s="14">
        <v>285.04694554846867</v>
      </c>
      <c r="J1265" s="14">
        <v>173.17331350846459</v>
      </c>
    </row>
    <row r="1266" spans="1:10" ht="15.75" x14ac:dyDescent="0.5">
      <c r="A1266" s="13" t="s">
        <v>311</v>
      </c>
      <c r="B1266" s="13" t="s">
        <v>403</v>
      </c>
      <c r="C1266" s="13" t="s">
        <v>400</v>
      </c>
      <c r="D1266" s="14" t="s">
        <v>250</v>
      </c>
      <c r="E1266" s="14" t="s">
        <v>250</v>
      </c>
      <c r="F1266" s="14">
        <v>18.559248882770721</v>
      </c>
      <c r="G1266" s="14">
        <v>18.559248882770728</v>
      </c>
      <c r="H1266" s="14">
        <v>3.7409071724732899</v>
      </c>
      <c r="I1266" s="14">
        <v>3.7409071724733169</v>
      </c>
      <c r="J1266" s="14" t="s">
        <v>250</v>
      </c>
    </row>
    <row r="1267" spans="1:10" ht="15.75" x14ac:dyDescent="0.5">
      <c r="A1267" s="13" t="s">
        <v>311</v>
      </c>
      <c r="B1267" s="13" t="s">
        <v>404</v>
      </c>
      <c r="C1267" s="13" t="s">
        <v>400</v>
      </c>
      <c r="D1267" s="14" t="s">
        <v>250</v>
      </c>
      <c r="E1267" s="14" t="s">
        <v>250</v>
      </c>
      <c r="F1267" s="14" t="s">
        <v>250</v>
      </c>
      <c r="G1267" s="14" t="s">
        <v>250</v>
      </c>
      <c r="H1267" s="14" t="s">
        <v>250</v>
      </c>
      <c r="I1267" s="14">
        <v>0.33069896914528524</v>
      </c>
      <c r="J1267" s="14">
        <v>0.33069896914528518</v>
      </c>
    </row>
    <row r="1268" spans="1:10" ht="15.75" x14ac:dyDescent="0.5">
      <c r="A1268" s="13" t="s">
        <v>311</v>
      </c>
      <c r="B1268" s="13" t="s">
        <v>421</v>
      </c>
      <c r="C1268" s="13" t="s">
        <v>400</v>
      </c>
      <c r="D1268" s="14" t="s">
        <v>250</v>
      </c>
      <c r="E1268" s="14" t="s">
        <v>250</v>
      </c>
      <c r="F1268" s="14" t="s">
        <v>250</v>
      </c>
      <c r="G1268" s="14">
        <v>15.392711977040454</v>
      </c>
      <c r="H1268" s="14">
        <v>41.489975891337593</v>
      </c>
      <c r="I1268" s="14">
        <v>41.489975891337579</v>
      </c>
      <c r="J1268" s="14">
        <v>6.551048824948043</v>
      </c>
    </row>
    <row r="1269" spans="1:10" ht="15.75" x14ac:dyDescent="0.5">
      <c r="A1269" s="13" t="s">
        <v>311</v>
      </c>
      <c r="B1269" s="13" t="s">
        <v>405</v>
      </c>
      <c r="C1269" s="13" t="s">
        <v>400</v>
      </c>
      <c r="D1269" s="14">
        <v>1259.3891290889944</v>
      </c>
      <c r="E1269" s="14">
        <v>1334.9963481512227</v>
      </c>
      <c r="F1269" s="14">
        <v>1477.4574582603711</v>
      </c>
      <c r="G1269" s="14">
        <v>1729.7712470799306</v>
      </c>
      <c r="H1269" s="14">
        <v>1933.5581186445388</v>
      </c>
      <c r="I1269" s="14">
        <v>1685.1620576026683</v>
      </c>
      <c r="J1269" s="14">
        <v>1383.7956818403616</v>
      </c>
    </row>
    <row r="1270" spans="1:10" ht="15.75" x14ac:dyDescent="0.5">
      <c r="A1270" s="13" t="s">
        <v>311</v>
      </c>
      <c r="B1270" s="13" t="s">
        <v>406</v>
      </c>
      <c r="C1270" s="13" t="s">
        <v>400</v>
      </c>
      <c r="D1270" s="14">
        <v>23.479196814299328</v>
      </c>
      <c r="E1270" s="14">
        <v>20.887518966696817</v>
      </c>
      <c r="F1270" s="14">
        <v>42.631937124177334</v>
      </c>
      <c r="G1270" s="14">
        <v>42.37761748224257</v>
      </c>
      <c r="H1270" s="14">
        <v>42.743324800875115</v>
      </c>
      <c r="I1270" s="14">
        <v>40.725389377406422</v>
      </c>
      <c r="J1270" s="14">
        <v>36.768504632434365</v>
      </c>
    </row>
    <row r="1271" spans="1:10" ht="15.75" x14ac:dyDescent="0.5">
      <c r="A1271" s="13" t="s">
        <v>311</v>
      </c>
      <c r="B1271" s="13" t="s">
        <v>407</v>
      </c>
      <c r="C1271" s="13" t="s">
        <v>400</v>
      </c>
      <c r="D1271" s="14" t="s">
        <v>250</v>
      </c>
      <c r="E1271" s="14">
        <v>111.65123211275353</v>
      </c>
      <c r="F1271" s="14">
        <v>63.511600918185238</v>
      </c>
      <c r="G1271" s="14">
        <v>169.7396875325997</v>
      </c>
      <c r="H1271" s="14">
        <v>89.281525522096558</v>
      </c>
      <c r="I1271" s="14">
        <v>27.090385574858537</v>
      </c>
      <c r="J1271" s="14">
        <v>5.8611111111111205</v>
      </c>
    </row>
    <row r="1272" spans="1:10" ht="15.75" x14ac:dyDescent="0.5">
      <c r="A1272" s="13" t="s">
        <v>311</v>
      </c>
      <c r="B1272" s="13" t="s">
        <v>408</v>
      </c>
      <c r="C1272" s="13" t="s">
        <v>400</v>
      </c>
      <c r="D1272" s="14">
        <v>46.892290321001219</v>
      </c>
      <c r="E1272" s="14">
        <v>35.08374222787694</v>
      </c>
      <c r="F1272" s="14">
        <v>31.834618731701621</v>
      </c>
      <c r="G1272" s="14">
        <v>45.052613827405075</v>
      </c>
      <c r="H1272" s="14">
        <v>44.33773445821739</v>
      </c>
      <c r="I1272" s="14">
        <v>42.723733642634912</v>
      </c>
      <c r="J1272" s="14">
        <v>41.130857391173123</v>
      </c>
    </row>
    <row r="1273" spans="1:10" ht="15.75" x14ac:dyDescent="0.5">
      <c r="A1273" s="13" t="s">
        <v>311</v>
      </c>
      <c r="B1273" s="13" t="s">
        <v>409</v>
      </c>
      <c r="C1273" s="13" t="s">
        <v>400</v>
      </c>
      <c r="D1273" s="14">
        <v>18.365704270000034</v>
      </c>
      <c r="E1273" s="14">
        <v>18.36570427000003</v>
      </c>
      <c r="F1273" s="14">
        <v>18.36570427000003</v>
      </c>
      <c r="G1273" s="14">
        <v>18.365704270000034</v>
      </c>
      <c r="H1273" s="14">
        <v>18.36570427000003</v>
      </c>
      <c r="I1273" s="14">
        <v>18.365704270000037</v>
      </c>
      <c r="J1273" s="14">
        <v>18.365704270000037</v>
      </c>
    </row>
    <row r="1274" spans="1:10" ht="15.75" x14ac:dyDescent="0.5">
      <c r="A1274" s="13" t="s">
        <v>311</v>
      </c>
      <c r="B1274" s="13" t="s">
        <v>410</v>
      </c>
      <c r="C1274" s="13" t="s">
        <v>400</v>
      </c>
      <c r="D1274" s="14">
        <v>245.79356253202212</v>
      </c>
      <c r="E1274" s="14">
        <v>244.57014134398477</v>
      </c>
      <c r="F1274" s="14">
        <v>246.12445039394578</v>
      </c>
      <c r="G1274" s="14">
        <v>246.16997594139087</v>
      </c>
      <c r="H1274" s="14">
        <v>246.16997594139099</v>
      </c>
      <c r="I1274" s="14">
        <v>246.16997594139102</v>
      </c>
      <c r="J1274" s="14">
        <v>246.16997594139104</v>
      </c>
    </row>
    <row r="1275" spans="1:10" ht="15.75" x14ac:dyDescent="0.5">
      <c r="A1275" s="13" t="s">
        <v>311</v>
      </c>
      <c r="B1275" s="13" t="s">
        <v>411</v>
      </c>
      <c r="C1275" s="13" t="s">
        <v>400</v>
      </c>
      <c r="D1275" s="14">
        <v>7.1394000000000153</v>
      </c>
      <c r="E1275" s="14">
        <v>6.5500261476363839</v>
      </c>
      <c r="F1275" s="14">
        <v>1.9272000000000054</v>
      </c>
      <c r="G1275" s="14">
        <v>1.9272000000000054</v>
      </c>
      <c r="H1275" s="14">
        <v>1.9272000000000047</v>
      </c>
      <c r="I1275" s="14">
        <v>1.9272000000000056</v>
      </c>
      <c r="J1275" s="14">
        <v>1.9272000000000058</v>
      </c>
    </row>
    <row r="1276" spans="1:10" ht="15.75" x14ac:dyDescent="0.5">
      <c r="A1276" s="13" t="s">
        <v>311</v>
      </c>
      <c r="B1276" s="13" t="s">
        <v>412</v>
      </c>
      <c r="C1276" s="13" t="s">
        <v>400</v>
      </c>
      <c r="D1276" s="14">
        <v>760.72545968400163</v>
      </c>
      <c r="E1276" s="14">
        <v>753.04299211199975</v>
      </c>
      <c r="F1276" s="14">
        <v>651.74780930648467</v>
      </c>
      <c r="G1276" s="14">
        <v>712.2187517010633</v>
      </c>
      <c r="H1276" s="14">
        <v>955.00556320973828</v>
      </c>
      <c r="I1276" s="14">
        <v>1377.1048234434315</v>
      </c>
      <c r="J1276" s="14">
        <v>1442.3901154401024</v>
      </c>
    </row>
    <row r="1277" spans="1:10" ht="15.75" x14ac:dyDescent="0.5">
      <c r="A1277" s="13" t="s">
        <v>311</v>
      </c>
      <c r="B1277" s="13" t="s">
        <v>413</v>
      </c>
      <c r="C1277" s="13" t="s">
        <v>400</v>
      </c>
      <c r="D1277" s="14">
        <v>23.702927619886133</v>
      </c>
      <c r="E1277" s="14">
        <v>20.181644163472654</v>
      </c>
      <c r="F1277" s="14">
        <v>5.8669206179363629</v>
      </c>
      <c r="G1277" s="14">
        <v>2.4401186774885737</v>
      </c>
      <c r="H1277" s="14">
        <v>1.2742043507928824</v>
      </c>
      <c r="I1277" s="14">
        <v>1.1266905293754983</v>
      </c>
      <c r="J1277" s="14">
        <v>0.67372123474912426</v>
      </c>
    </row>
    <row r="1278" spans="1:10" ht="15.75" x14ac:dyDescent="0.5">
      <c r="A1278" s="13" t="s">
        <v>311</v>
      </c>
      <c r="B1278" s="13" t="s">
        <v>414</v>
      </c>
      <c r="C1278" s="13" t="s">
        <v>400</v>
      </c>
      <c r="D1278" s="14">
        <v>0.6803907705109502</v>
      </c>
      <c r="E1278" s="14">
        <v>24.43034958652521</v>
      </c>
      <c r="F1278" s="14">
        <v>100.42127569784593</v>
      </c>
      <c r="G1278" s="14">
        <v>206.62225251822861</v>
      </c>
      <c r="H1278" s="14">
        <v>253.23551834306613</v>
      </c>
      <c r="I1278" s="14">
        <v>254.75488903923141</v>
      </c>
      <c r="J1278" s="14">
        <v>255.93137522318855</v>
      </c>
    </row>
    <row r="1279" spans="1:10" ht="15.75" x14ac:dyDescent="0.5">
      <c r="A1279" s="13" t="s">
        <v>311</v>
      </c>
      <c r="B1279" s="13" t="s">
        <v>415</v>
      </c>
      <c r="C1279" s="13" t="s">
        <v>400</v>
      </c>
      <c r="D1279" s="14">
        <v>440.53124483255561</v>
      </c>
      <c r="E1279" s="14">
        <v>873.8116147635975</v>
      </c>
      <c r="F1279" s="14">
        <v>1346.7544055815811</v>
      </c>
      <c r="G1279" s="14">
        <v>1414.0390620621479</v>
      </c>
      <c r="H1279" s="14">
        <v>1576.3814006770351</v>
      </c>
      <c r="I1279" s="14">
        <v>1826.0988610177253</v>
      </c>
      <c r="J1279" s="14">
        <v>2445.3305799210953</v>
      </c>
    </row>
    <row r="1280" spans="1:10" ht="15.75" x14ac:dyDescent="0.5">
      <c r="A1280" s="13" t="s">
        <v>311</v>
      </c>
      <c r="B1280" s="13" t="s">
        <v>416</v>
      </c>
      <c r="C1280" s="13" t="s">
        <v>400</v>
      </c>
      <c r="D1280" s="14" t="s">
        <v>250</v>
      </c>
      <c r="E1280" s="14">
        <v>70.934498682900738</v>
      </c>
      <c r="F1280" s="14">
        <v>100.19546122793697</v>
      </c>
      <c r="G1280" s="14">
        <v>127.69344447727372</v>
      </c>
      <c r="H1280" s="14">
        <v>145.88323771792341</v>
      </c>
      <c r="I1280" s="14">
        <v>165.77906731373224</v>
      </c>
      <c r="J1280" s="14">
        <v>186.2865730549081</v>
      </c>
    </row>
    <row r="1281" spans="1:10" ht="15.75" x14ac:dyDescent="0.5">
      <c r="A1281" s="13" t="s">
        <v>311</v>
      </c>
      <c r="B1281" s="13" t="s">
        <v>417</v>
      </c>
      <c r="C1281" s="13" t="s">
        <v>400</v>
      </c>
      <c r="D1281" s="14">
        <v>187.48709633408689</v>
      </c>
      <c r="E1281" s="14">
        <v>298.36286233429843</v>
      </c>
      <c r="F1281" s="14">
        <v>339.94935565504693</v>
      </c>
      <c r="G1281" s="14">
        <v>640.0299028855992</v>
      </c>
      <c r="H1281" s="14">
        <v>1253.9428292342775</v>
      </c>
      <c r="I1281" s="14">
        <v>1810.6941673743111</v>
      </c>
      <c r="J1281" s="14">
        <v>2226.8958023164714</v>
      </c>
    </row>
    <row r="1282" spans="1:10" ht="15.75" x14ac:dyDescent="0.5">
      <c r="A1282" s="13" t="s">
        <v>311</v>
      </c>
      <c r="B1282" s="13" t="s">
        <v>418</v>
      </c>
      <c r="C1282" s="13" t="s">
        <v>400</v>
      </c>
      <c r="D1282" s="14">
        <v>3.1841751731019539</v>
      </c>
      <c r="E1282" s="14">
        <v>3.1841751731019534</v>
      </c>
      <c r="F1282" s="14">
        <v>3.1841751731019539</v>
      </c>
      <c r="G1282" s="14">
        <v>3.1841751731019534</v>
      </c>
      <c r="H1282" s="14">
        <v>3.1841751731019539</v>
      </c>
      <c r="I1282" s="14">
        <v>3.1841751731019534</v>
      </c>
      <c r="J1282" s="14">
        <v>3.184175173101953</v>
      </c>
    </row>
    <row r="1283" spans="1:10" ht="15.75" x14ac:dyDescent="0.5">
      <c r="A1283" s="13" t="s">
        <v>311</v>
      </c>
      <c r="B1283" s="13" t="s">
        <v>419</v>
      </c>
      <c r="C1283" s="13" t="s">
        <v>400</v>
      </c>
      <c r="D1283" s="14">
        <v>0.54465920264079504</v>
      </c>
      <c r="E1283" s="14">
        <v>8.1574963256445017</v>
      </c>
      <c r="F1283" s="14">
        <v>21.465750341843751</v>
      </c>
      <c r="G1283" s="14">
        <v>62.338076132482243</v>
      </c>
      <c r="H1283" s="14">
        <v>146.24750212607046</v>
      </c>
      <c r="I1283" s="14">
        <v>327.10911912272633</v>
      </c>
      <c r="J1283" s="14">
        <v>570.74302947167939</v>
      </c>
    </row>
    <row r="1284" spans="1:10" ht="15.75" x14ac:dyDescent="0.5">
      <c r="A1284" s="13" t="s">
        <v>311</v>
      </c>
      <c r="B1284" s="13" t="s">
        <v>420</v>
      </c>
      <c r="C1284" s="13" t="s">
        <v>400</v>
      </c>
      <c r="D1284" s="14">
        <v>-13.987252957808373</v>
      </c>
      <c r="E1284" s="14">
        <v>-13.645777794627906</v>
      </c>
      <c r="F1284" s="14">
        <v>-13.503531852775989</v>
      </c>
      <c r="G1284" s="14">
        <v>-12.773991051715926</v>
      </c>
      <c r="H1284" s="14">
        <v>-10.571067763023223</v>
      </c>
      <c r="I1284" s="14">
        <v>-13.301268857452314</v>
      </c>
      <c r="J1284" s="14">
        <v>-15.369827781820572</v>
      </c>
    </row>
    <row r="1285" spans="1:10" ht="15.75" x14ac:dyDescent="0.5">
      <c r="A1285" s="13" t="s">
        <v>312</v>
      </c>
      <c r="B1285" s="13" t="s">
        <v>399</v>
      </c>
      <c r="C1285" s="13" t="s">
        <v>400</v>
      </c>
      <c r="D1285" s="14">
        <v>7.2499064625597889</v>
      </c>
      <c r="E1285" s="14">
        <v>0.20898235810271837</v>
      </c>
      <c r="F1285" s="14">
        <v>0.51246000000000103</v>
      </c>
      <c r="G1285" s="14">
        <v>0.7358627737226292</v>
      </c>
      <c r="H1285" s="14">
        <v>0.80044125547445411</v>
      </c>
      <c r="I1285" s="14">
        <v>0.95830695065791283</v>
      </c>
      <c r="J1285" s="14">
        <v>1.0289102537360881</v>
      </c>
    </row>
    <row r="1286" spans="1:10" ht="15.75" x14ac:dyDescent="0.5">
      <c r="A1286" s="13" t="s">
        <v>312</v>
      </c>
      <c r="B1286" s="13" t="s">
        <v>401</v>
      </c>
      <c r="C1286" s="13" t="s">
        <v>400</v>
      </c>
      <c r="D1286" s="14" t="s">
        <v>250</v>
      </c>
      <c r="E1286" s="14" t="s">
        <v>250</v>
      </c>
      <c r="F1286" s="14">
        <v>77.989333698587117</v>
      </c>
      <c r="G1286" s="14">
        <v>77.989333698587131</v>
      </c>
      <c r="H1286" s="14">
        <v>19.759867777633207</v>
      </c>
      <c r="I1286" s="14">
        <v>18.73467293169632</v>
      </c>
      <c r="J1286" s="14" t="s">
        <v>250</v>
      </c>
    </row>
    <row r="1287" spans="1:10" ht="15.75" x14ac:dyDescent="0.5">
      <c r="A1287" s="13" t="s">
        <v>312</v>
      </c>
      <c r="B1287" s="13" t="s">
        <v>402</v>
      </c>
      <c r="C1287" s="13" t="s">
        <v>400</v>
      </c>
      <c r="D1287" s="14">
        <v>1072.9916742877467</v>
      </c>
      <c r="E1287" s="14">
        <v>399.23083713008856</v>
      </c>
      <c r="F1287" s="14">
        <v>217.03840720978286</v>
      </c>
      <c r="G1287" s="14">
        <v>292.94176105214814</v>
      </c>
      <c r="H1287" s="14">
        <v>284.73772037416148</v>
      </c>
      <c r="I1287" s="14">
        <v>247.66043401853867</v>
      </c>
      <c r="J1287" s="14">
        <v>250.10506116412859</v>
      </c>
    </row>
    <row r="1288" spans="1:10" ht="15.75" x14ac:dyDescent="0.5">
      <c r="A1288" s="13" t="s">
        <v>312</v>
      </c>
      <c r="B1288" s="13" t="s">
        <v>403</v>
      </c>
      <c r="C1288" s="13" t="s">
        <v>400</v>
      </c>
      <c r="D1288" s="14" t="s">
        <v>250</v>
      </c>
      <c r="E1288" s="14" t="s">
        <v>250</v>
      </c>
      <c r="F1288" s="14">
        <v>17.031861264000039</v>
      </c>
      <c r="G1288" s="14">
        <v>17.031861264000039</v>
      </c>
      <c r="H1288" s="14">
        <v>3.4154802000000073</v>
      </c>
      <c r="I1288" s="14">
        <v>3.4154802000000082</v>
      </c>
      <c r="J1288" s="14" t="s">
        <v>250</v>
      </c>
    </row>
    <row r="1289" spans="1:10" ht="15.75" x14ac:dyDescent="0.5">
      <c r="A1289" s="13" t="s">
        <v>312</v>
      </c>
      <c r="B1289" s="13" t="s">
        <v>404</v>
      </c>
      <c r="C1289" s="13" t="s">
        <v>400</v>
      </c>
      <c r="D1289" s="14" t="s">
        <v>250</v>
      </c>
      <c r="E1289" s="14" t="s">
        <v>250</v>
      </c>
      <c r="F1289" s="14" t="s">
        <v>250</v>
      </c>
      <c r="G1289" s="14" t="s">
        <v>250</v>
      </c>
      <c r="H1289" s="14" t="s">
        <v>250</v>
      </c>
      <c r="I1289" s="14">
        <v>0.33069896914528535</v>
      </c>
      <c r="J1289" s="14">
        <v>0.3306989691452854</v>
      </c>
    </row>
    <row r="1290" spans="1:10" ht="15.75" x14ac:dyDescent="0.5">
      <c r="A1290" s="13" t="s">
        <v>312</v>
      </c>
      <c r="B1290" s="13" t="s">
        <v>421</v>
      </c>
      <c r="C1290" s="13" t="s">
        <v>400</v>
      </c>
      <c r="D1290" s="14" t="s">
        <v>250</v>
      </c>
      <c r="E1290" s="14" t="s">
        <v>250</v>
      </c>
      <c r="F1290" s="14" t="s">
        <v>250</v>
      </c>
      <c r="G1290" s="14">
        <v>521.48052340014965</v>
      </c>
      <c r="H1290" s="14">
        <v>1402.6218676534015</v>
      </c>
      <c r="I1290" s="14">
        <v>1392.7912507201643</v>
      </c>
      <c r="J1290" s="14">
        <v>222.03282629445854</v>
      </c>
    </row>
    <row r="1291" spans="1:10" ht="15.75" x14ac:dyDescent="0.5">
      <c r="A1291" s="13" t="s">
        <v>312</v>
      </c>
      <c r="B1291" s="13" t="s">
        <v>405</v>
      </c>
      <c r="C1291" s="13" t="s">
        <v>400</v>
      </c>
      <c r="D1291" s="14">
        <v>1259.3891290889937</v>
      </c>
      <c r="E1291" s="14">
        <v>1334.9082953091888</v>
      </c>
      <c r="F1291" s="14">
        <v>1461.8267759131259</v>
      </c>
      <c r="G1291" s="14">
        <v>1235.1699508675999</v>
      </c>
      <c r="H1291" s="14">
        <v>871.37736373177813</v>
      </c>
      <c r="I1291" s="14">
        <v>954.1790610298558</v>
      </c>
      <c r="J1291" s="14">
        <v>1514.5428763327498</v>
      </c>
    </row>
    <row r="1292" spans="1:10" ht="15.75" x14ac:dyDescent="0.5">
      <c r="A1292" s="13" t="s">
        <v>312</v>
      </c>
      <c r="B1292" s="13" t="s">
        <v>406</v>
      </c>
      <c r="C1292" s="13" t="s">
        <v>400</v>
      </c>
      <c r="D1292" s="14">
        <v>23.479196814299328</v>
      </c>
      <c r="E1292" s="14">
        <v>20.901310602697244</v>
      </c>
      <c r="F1292" s="14">
        <v>42.953707638472018</v>
      </c>
      <c r="G1292" s="14">
        <v>42.221001055907628</v>
      </c>
      <c r="H1292" s="14">
        <v>41.942980716739385</v>
      </c>
      <c r="I1292" s="14">
        <v>40.184974344618006</v>
      </c>
      <c r="J1292" s="14">
        <v>36.491273258509132</v>
      </c>
    </row>
    <row r="1293" spans="1:10" ht="15.75" x14ac:dyDescent="0.5">
      <c r="A1293" s="13" t="s">
        <v>312</v>
      </c>
      <c r="B1293" s="13" t="s">
        <v>407</v>
      </c>
      <c r="C1293" s="13" t="s">
        <v>400</v>
      </c>
      <c r="D1293" s="14" t="s">
        <v>250</v>
      </c>
      <c r="E1293" s="14">
        <v>114.58102217876436</v>
      </c>
      <c r="F1293" s="14">
        <v>81.100365121725289</v>
      </c>
      <c r="G1293" s="14">
        <v>171.36354870980014</v>
      </c>
      <c r="H1293" s="14">
        <v>87.884918906633885</v>
      </c>
      <c r="I1293" s="14">
        <v>37.657867865223082</v>
      </c>
      <c r="J1293" s="14">
        <v>8.114708333333347</v>
      </c>
    </row>
    <row r="1294" spans="1:10" ht="15.75" x14ac:dyDescent="0.5">
      <c r="A1294" s="13" t="s">
        <v>312</v>
      </c>
      <c r="B1294" s="13" t="s">
        <v>408</v>
      </c>
      <c r="C1294" s="13" t="s">
        <v>400</v>
      </c>
      <c r="D1294" s="14">
        <v>46.892290321001227</v>
      </c>
      <c r="E1294" s="14">
        <v>35.186374787074925</v>
      </c>
      <c r="F1294" s="14">
        <v>32.137068065849043</v>
      </c>
      <c r="G1294" s="14">
        <v>45.884709347904845</v>
      </c>
      <c r="H1294" s="14">
        <v>43.490499485268423</v>
      </c>
      <c r="I1294" s="14">
        <v>41.416510861313959</v>
      </c>
      <c r="J1294" s="14">
        <v>42.326577044089881</v>
      </c>
    </row>
    <row r="1295" spans="1:10" ht="15.75" x14ac:dyDescent="0.5">
      <c r="A1295" s="13" t="s">
        <v>312</v>
      </c>
      <c r="B1295" s="13" t="s">
        <v>409</v>
      </c>
      <c r="C1295" s="13" t="s">
        <v>400</v>
      </c>
      <c r="D1295" s="14">
        <v>18.365704270000034</v>
      </c>
      <c r="E1295" s="14">
        <v>18.365704270000037</v>
      </c>
      <c r="F1295" s="14">
        <v>18.365704270000034</v>
      </c>
      <c r="G1295" s="14">
        <v>18.36570427000003</v>
      </c>
      <c r="H1295" s="14">
        <v>18.365704270000034</v>
      </c>
      <c r="I1295" s="14">
        <v>18.365704270000034</v>
      </c>
      <c r="J1295" s="14">
        <v>18.365704270000037</v>
      </c>
    </row>
    <row r="1296" spans="1:10" ht="15.75" x14ac:dyDescent="0.5">
      <c r="A1296" s="13" t="s">
        <v>312</v>
      </c>
      <c r="B1296" s="13" t="s">
        <v>410</v>
      </c>
      <c r="C1296" s="13" t="s">
        <v>400</v>
      </c>
      <c r="D1296" s="14">
        <v>245.79356253202212</v>
      </c>
      <c r="E1296" s="14">
        <v>244.56471184629831</v>
      </c>
      <c r="F1296" s="14">
        <v>246.12445039394584</v>
      </c>
      <c r="G1296" s="14">
        <v>246.16638567773126</v>
      </c>
      <c r="H1296" s="14">
        <v>246.1699759413911</v>
      </c>
      <c r="I1296" s="14">
        <v>246.16997594139093</v>
      </c>
      <c r="J1296" s="14">
        <v>246.16997594139116</v>
      </c>
    </row>
    <row r="1297" spans="1:10" ht="15.75" x14ac:dyDescent="0.5">
      <c r="A1297" s="13" t="s">
        <v>312</v>
      </c>
      <c r="B1297" s="13" t="s">
        <v>411</v>
      </c>
      <c r="C1297" s="13" t="s">
        <v>400</v>
      </c>
      <c r="D1297" s="14">
        <v>7.1394000000000162</v>
      </c>
      <c r="E1297" s="14">
        <v>6.1050704658621298</v>
      </c>
      <c r="F1297" s="14">
        <v>1.9272000000000051</v>
      </c>
      <c r="G1297" s="14">
        <v>1.9272000000000056</v>
      </c>
      <c r="H1297" s="14">
        <v>1.9272000000000054</v>
      </c>
      <c r="I1297" s="14">
        <v>1.9272000000000058</v>
      </c>
      <c r="J1297" s="14">
        <v>1.9272000000000054</v>
      </c>
    </row>
    <row r="1298" spans="1:10" ht="15.75" x14ac:dyDescent="0.5">
      <c r="A1298" s="13" t="s">
        <v>312</v>
      </c>
      <c r="B1298" s="13" t="s">
        <v>412</v>
      </c>
      <c r="C1298" s="13" t="s">
        <v>400</v>
      </c>
      <c r="D1298" s="14">
        <v>760.72545968400163</v>
      </c>
      <c r="E1298" s="14">
        <v>748.16438302165238</v>
      </c>
      <c r="F1298" s="14">
        <v>636.24458061609539</v>
      </c>
      <c r="G1298" s="14">
        <v>692.71031454947911</v>
      </c>
      <c r="H1298" s="14">
        <v>706.42455559847838</v>
      </c>
      <c r="I1298" s="14">
        <v>706.42455559847838</v>
      </c>
      <c r="J1298" s="14">
        <v>688.99119224692845</v>
      </c>
    </row>
    <row r="1299" spans="1:10" ht="15.75" x14ac:dyDescent="0.5">
      <c r="A1299" s="13" t="s">
        <v>312</v>
      </c>
      <c r="B1299" s="13" t="s">
        <v>413</v>
      </c>
      <c r="C1299" s="13" t="s">
        <v>400</v>
      </c>
      <c r="D1299" s="14">
        <v>23.70292761988614</v>
      </c>
      <c r="E1299" s="14">
        <v>19.933627815449896</v>
      </c>
      <c r="F1299" s="14">
        <v>6.2672058821047303</v>
      </c>
      <c r="G1299" s="14">
        <v>2.6164786715131463</v>
      </c>
      <c r="H1299" s="14">
        <v>1.1479011482939234</v>
      </c>
      <c r="I1299" s="14">
        <v>0.89800078865679211</v>
      </c>
      <c r="J1299" s="14">
        <v>0.78119616873930009</v>
      </c>
    </row>
    <row r="1300" spans="1:10" ht="15.75" x14ac:dyDescent="0.5">
      <c r="A1300" s="13" t="s">
        <v>312</v>
      </c>
      <c r="B1300" s="13" t="s">
        <v>414</v>
      </c>
      <c r="C1300" s="13" t="s">
        <v>400</v>
      </c>
      <c r="D1300" s="14">
        <v>0.68039077051095032</v>
      </c>
      <c r="E1300" s="14">
        <v>24.430349586525207</v>
      </c>
      <c r="F1300" s="14">
        <v>100.46767497093691</v>
      </c>
      <c r="G1300" s="14">
        <v>206.74994788591925</v>
      </c>
      <c r="H1300" s="14">
        <v>253.36435797811268</v>
      </c>
      <c r="I1300" s="14">
        <v>254.88458078826636</v>
      </c>
      <c r="J1300" s="14">
        <v>256.06172431730027</v>
      </c>
    </row>
    <row r="1301" spans="1:10" ht="15.75" x14ac:dyDescent="0.5">
      <c r="A1301" s="13" t="s">
        <v>312</v>
      </c>
      <c r="B1301" s="13" t="s">
        <v>415</v>
      </c>
      <c r="C1301" s="13" t="s">
        <v>400</v>
      </c>
      <c r="D1301" s="14">
        <v>440.5312448325555</v>
      </c>
      <c r="E1301" s="14">
        <v>873.81161464141189</v>
      </c>
      <c r="F1301" s="14">
        <v>1351.3938116645907</v>
      </c>
      <c r="G1301" s="14">
        <v>1429.8007745101245</v>
      </c>
      <c r="H1301" s="14">
        <v>1579.5783842189089</v>
      </c>
      <c r="I1301" s="14">
        <v>1841.8638728464014</v>
      </c>
      <c r="J1301" s="14">
        <v>2723.0438677144152</v>
      </c>
    </row>
    <row r="1302" spans="1:10" ht="15.75" x14ac:dyDescent="0.5">
      <c r="A1302" s="13" t="s">
        <v>312</v>
      </c>
      <c r="B1302" s="13" t="s">
        <v>416</v>
      </c>
      <c r="C1302" s="13" t="s">
        <v>400</v>
      </c>
      <c r="D1302" s="14" t="s">
        <v>250</v>
      </c>
      <c r="E1302" s="14">
        <v>70.934498682900681</v>
      </c>
      <c r="F1302" s="14">
        <v>100.195461227937</v>
      </c>
      <c r="G1302" s="14">
        <v>127.69344447727373</v>
      </c>
      <c r="H1302" s="14">
        <v>145.88323771792344</v>
      </c>
      <c r="I1302" s="14">
        <v>165.77906731373236</v>
      </c>
      <c r="J1302" s="14">
        <v>186.28657305490813</v>
      </c>
    </row>
    <row r="1303" spans="1:10" ht="15.75" x14ac:dyDescent="0.5">
      <c r="A1303" s="13" t="s">
        <v>312</v>
      </c>
      <c r="B1303" s="13" t="s">
        <v>417</v>
      </c>
      <c r="C1303" s="13" t="s">
        <v>400</v>
      </c>
      <c r="D1303" s="14">
        <v>187.48709633408686</v>
      </c>
      <c r="E1303" s="14">
        <v>298.36286233429848</v>
      </c>
      <c r="F1303" s="14">
        <v>339.94935565504716</v>
      </c>
      <c r="G1303" s="14">
        <v>640.18744582128329</v>
      </c>
      <c r="H1303" s="14">
        <v>1234.3526252417332</v>
      </c>
      <c r="I1303" s="14">
        <v>1893.3559329052325</v>
      </c>
      <c r="J1303" s="14">
        <v>2324.5018003225173</v>
      </c>
    </row>
    <row r="1304" spans="1:10" ht="15.75" x14ac:dyDescent="0.5">
      <c r="A1304" s="13" t="s">
        <v>312</v>
      </c>
      <c r="B1304" s="13" t="s">
        <v>418</v>
      </c>
      <c r="C1304" s="13" t="s">
        <v>400</v>
      </c>
      <c r="D1304" s="14">
        <v>3.1841751731019539</v>
      </c>
      <c r="E1304" s="14">
        <v>3.184175173101953</v>
      </c>
      <c r="F1304" s="14">
        <v>3.1841751731019534</v>
      </c>
      <c r="G1304" s="14">
        <v>3.1841751731019534</v>
      </c>
      <c r="H1304" s="14">
        <v>3.184175173101953</v>
      </c>
      <c r="I1304" s="14">
        <v>3.1841751731019539</v>
      </c>
      <c r="J1304" s="14">
        <v>3.1841751731019534</v>
      </c>
    </row>
    <row r="1305" spans="1:10" ht="15.75" x14ac:dyDescent="0.5">
      <c r="A1305" s="13" t="s">
        <v>312</v>
      </c>
      <c r="B1305" s="13" t="s">
        <v>419</v>
      </c>
      <c r="C1305" s="13" t="s">
        <v>400</v>
      </c>
      <c r="D1305" s="14">
        <v>0.54465920264079504</v>
      </c>
      <c r="E1305" s="14">
        <v>8.0911308191583604</v>
      </c>
      <c r="F1305" s="14">
        <v>24.878210950804771</v>
      </c>
      <c r="G1305" s="14">
        <v>60.578074790675565</v>
      </c>
      <c r="H1305" s="14">
        <v>168.75524369955662</v>
      </c>
      <c r="I1305" s="14">
        <v>399.83831392087842</v>
      </c>
      <c r="J1305" s="14">
        <v>758.92453204261653</v>
      </c>
    </row>
    <row r="1306" spans="1:10" ht="15.75" x14ac:dyDescent="0.5">
      <c r="A1306" s="13" t="s">
        <v>312</v>
      </c>
      <c r="B1306" s="13" t="s">
        <v>420</v>
      </c>
      <c r="C1306" s="13" t="s">
        <v>400</v>
      </c>
      <c r="D1306" s="14">
        <v>-13.987252957808419</v>
      </c>
      <c r="E1306" s="14">
        <v>-13.637643519965025</v>
      </c>
      <c r="F1306" s="14">
        <v>-13.087951465294895</v>
      </c>
      <c r="G1306" s="14">
        <v>-12.796070666495599</v>
      </c>
      <c r="H1306" s="14">
        <v>-12.383741848284469</v>
      </c>
      <c r="I1306" s="14">
        <v>-15.059291257468267</v>
      </c>
      <c r="J1306" s="14">
        <v>-15.713999971380316</v>
      </c>
    </row>
    <row r="1307" spans="1:10" ht="15.75" x14ac:dyDescent="0.5">
      <c r="A1307" s="13" t="s">
        <v>313</v>
      </c>
      <c r="B1307" s="13" t="s">
        <v>399</v>
      </c>
      <c r="C1307" s="13" t="s">
        <v>400</v>
      </c>
      <c r="D1307" s="14">
        <v>7.2499064625597898</v>
      </c>
      <c r="E1307" s="14">
        <v>0.20898235810270971</v>
      </c>
      <c r="F1307" s="14">
        <v>0.51246000000000114</v>
      </c>
      <c r="G1307" s="14">
        <v>0.73586277372262909</v>
      </c>
      <c r="H1307" s="14">
        <v>0.80044125547445411</v>
      </c>
      <c r="I1307" s="14">
        <v>0.95830695065791294</v>
      </c>
      <c r="J1307" s="14">
        <v>1.0289102537360879</v>
      </c>
    </row>
    <row r="1308" spans="1:10" ht="15.75" x14ac:dyDescent="0.5">
      <c r="A1308" s="13" t="s">
        <v>313</v>
      </c>
      <c r="B1308" s="13" t="s">
        <v>401</v>
      </c>
      <c r="C1308" s="13" t="s">
        <v>400</v>
      </c>
      <c r="D1308" s="14" t="s">
        <v>250</v>
      </c>
      <c r="E1308" s="14" t="s">
        <v>250</v>
      </c>
      <c r="F1308" s="14">
        <v>77.989333605578622</v>
      </c>
      <c r="G1308" s="14">
        <v>77.989333605578622</v>
      </c>
      <c r="H1308" s="14">
        <v>19.75986793459851</v>
      </c>
      <c r="I1308" s="14">
        <v>18.734673088661623</v>
      </c>
      <c r="J1308" s="14" t="s">
        <v>250</v>
      </c>
    </row>
    <row r="1309" spans="1:10" ht="15.75" x14ac:dyDescent="0.5">
      <c r="A1309" s="13" t="s">
        <v>313</v>
      </c>
      <c r="B1309" s="13" t="s">
        <v>402</v>
      </c>
      <c r="C1309" s="13" t="s">
        <v>400</v>
      </c>
      <c r="D1309" s="14">
        <v>1072.9916742877463</v>
      </c>
      <c r="E1309" s="14">
        <v>399.23083703297385</v>
      </c>
      <c r="F1309" s="14">
        <v>217.03840716232989</v>
      </c>
      <c r="G1309" s="14">
        <v>292.94176297236606</v>
      </c>
      <c r="H1309" s="14">
        <v>284.73771970462576</v>
      </c>
      <c r="I1309" s="14">
        <v>247.66044095168181</v>
      </c>
      <c r="J1309" s="14">
        <v>250.10506823770399</v>
      </c>
    </row>
    <row r="1310" spans="1:10" ht="15.75" x14ac:dyDescent="0.5">
      <c r="A1310" s="13" t="s">
        <v>313</v>
      </c>
      <c r="B1310" s="13" t="s">
        <v>403</v>
      </c>
      <c r="C1310" s="13" t="s">
        <v>400</v>
      </c>
      <c r="D1310" s="14" t="s">
        <v>250</v>
      </c>
      <c r="E1310" s="14" t="s">
        <v>250</v>
      </c>
      <c r="F1310" s="14">
        <v>17.031861264000042</v>
      </c>
      <c r="G1310" s="14">
        <v>17.031861264000039</v>
      </c>
      <c r="H1310" s="14">
        <v>3.4154802000000082</v>
      </c>
      <c r="I1310" s="14">
        <v>3.4154802000000077</v>
      </c>
      <c r="J1310" s="14" t="s">
        <v>250</v>
      </c>
    </row>
    <row r="1311" spans="1:10" ht="15.75" x14ac:dyDescent="0.5">
      <c r="A1311" s="13" t="s">
        <v>313</v>
      </c>
      <c r="B1311" s="13" t="s">
        <v>404</v>
      </c>
      <c r="C1311" s="13" t="s">
        <v>400</v>
      </c>
      <c r="D1311" s="14" t="s">
        <v>250</v>
      </c>
      <c r="E1311" s="14" t="s">
        <v>250</v>
      </c>
      <c r="F1311" s="14" t="s">
        <v>250</v>
      </c>
      <c r="G1311" s="14" t="s">
        <v>250</v>
      </c>
      <c r="H1311" s="14" t="s">
        <v>250</v>
      </c>
      <c r="I1311" s="14">
        <v>0.33069896914528535</v>
      </c>
      <c r="J1311" s="14">
        <v>0.3306989691452854</v>
      </c>
    </row>
    <row r="1312" spans="1:10" ht="15.75" x14ac:dyDescent="0.5">
      <c r="A1312" s="13" t="s">
        <v>313</v>
      </c>
      <c r="B1312" s="13" t="s">
        <v>421</v>
      </c>
      <c r="C1312" s="13" t="s">
        <v>400</v>
      </c>
      <c r="D1312" s="14" t="s">
        <v>250</v>
      </c>
      <c r="E1312" s="14" t="s">
        <v>250</v>
      </c>
      <c r="F1312" s="14" t="s">
        <v>250</v>
      </c>
      <c r="G1312" s="14">
        <v>521.48052112280914</v>
      </c>
      <c r="H1312" s="14">
        <v>1402.621860999476</v>
      </c>
      <c r="I1312" s="14">
        <v>1392.7912476983497</v>
      </c>
      <c r="J1312" s="14">
        <v>222.03282533404428</v>
      </c>
    </row>
    <row r="1313" spans="1:10" ht="15.75" x14ac:dyDescent="0.5">
      <c r="A1313" s="13" t="s">
        <v>313</v>
      </c>
      <c r="B1313" s="13" t="s">
        <v>405</v>
      </c>
      <c r="C1313" s="13" t="s">
        <v>400</v>
      </c>
      <c r="D1313" s="14">
        <v>1259.3891290889947</v>
      </c>
      <c r="E1313" s="14">
        <v>1334.9082964638694</v>
      </c>
      <c r="F1313" s="14">
        <v>1461.8267777664569</v>
      </c>
      <c r="G1313" s="14">
        <v>1235.1699550189053</v>
      </c>
      <c r="H1313" s="14">
        <v>871.37737774334892</v>
      </c>
      <c r="I1313" s="14">
        <v>954.17906421284192</v>
      </c>
      <c r="J1313" s="14">
        <v>1514.5428778129717</v>
      </c>
    </row>
    <row r="1314" spans="1:10" ht="15.75" x14ac:dyDescent="0.5">
      <c r="A1314" s="13" t="s">
        <v>313</v>
      </c>
      <c r="B1314" s="13" t="s">
        <v>406</v>
      </c>
      <c r="C1314" s="13" t="s">
        <v>400</v>
      </c>
      <c r="D1314" s="14">
        <v>23.479196814299328</v>
      </c>
      <c r="E1314" s="14">
        <v>20.901310534088037</v>
      </c>
      <c r="F1314" s="14">
        <v>42.953707613941802</v>
      </c>
      <c r="G1314" s="14">
        <v>42.221001000203557</v>
      </c>
      <c r="H1314" s="14">
        <v>41.942980448082643</v>
      </c>
      <c r="I1314" s="14">
        <v>40.184974364647474</v>
      </c>
      <c r="J1314" s="14">
        <v>36.491273220261306</v>
      </c>
    </row>
    <row r="1315" spans="1:10" ht="15.75" x14ac:dyDescent="0.5">
      <c r="A1315" s="13" t="s">
        <v>313</v>
      </c>
      <c r="B1315" s="13" t="s">
        <v>407</v>
      </c>
      <c r="C1315" s="13" t="s">
        <v>400</v>
      </c>
      <c r="D1315" s="14" t="s">
        <v>250</v>
      </c>
      <c r="E1315" s="14">
        <v>114.58102114190353</v>
      </c>
      <c r="F1315" s="14">
        <v>81.100364514291272</v>
      </c>
      <c r="G1315" s="14">
        <v>171.36354730673048</v>
      </c>
      <c r="H1315" s="14">
        <v>87.884918645328227</v>
      </c>
      <c r="I1315" s="14">
        <v>37.657868168850733</v>
      </c>
      <c r="J1315" s="14">
        <v>8.114708333333347</v>
      </c>
    </row>
    <row r="1316" spans="1:10" ht="15.75" x14ac:dyDescent="0.5">
      <c r="A1316" s="13" t="s">
        <v>313</v>
      </c>
      <c r="B1316" s="13" t="s">
        <v>408</v>
      </c>
      <c r="C1316" s="13" t="s">
        <v>400</v>
      </c>
      <c r="D1316" s="14">
        <v>46.892290321001241</v>
      </c>
      <c r="E1316" s="14">
        <v>35.186374809526079</v>
      </c>
      <c r="F1316" s="14">
        <v>32.137068096863921</v>
      </c>
      <c r="G1316" s="14">
        <v>45.884709380681763</v>
      </c>
      <c r="H1316" s="14">
        <v>43.490499486163699</v>
      </c>
      <c r="I1316" s="14">
        <v>41.416510861313959</v>
      </c>
      <c r="J1316" s="14">
        <v>42.326576504833845</v>
      </c>
    </row>
    <row r="1317" spans="1:10" ht="15.75" x14ac:dyDescent="0.5">
      <c r="A1317" s="13" t="s">
        <v>313</v>
      </c>
      <c r="B1317" s="13" t="s">
        <v>409</v>
      </c>
      <c r="C1317" s="13" t="s">
        <v>400</v>
      </c>
      <c r="D1317" s="14">
        <v>18.365704270000034</v>
      </c>
      <c r="E1317" s="14">
        <v>18.365704270000034</v>
      </c>
      <c r="F1317" s="14">
        <v>18.365704270000034</v>
      </c>
      <c r="G1317" s="14">
        <v>18.365704270000034</v>
      </c>
      <c r="H1317" s="14">
        <v>18.365704270000034</v>
      </c>
      <c r="I1317" s="14">
        <v>18.365704270000037</v>
      </c>
      <c r="J1317" s="14">
        <v>18.365704270000037</v>
      </c>
    </row>
    <row r="1318" spans="1:10" ht="15.75" x14ac:dyDescent="0.5">
      <c r="A1318" s="13" t="s">
        <v>313</v>
      </c>
      <c r="B1318" s="13" t="s">
        <v>410</v>
      </c>
      <c r="C1318" s="13" t="s">
        <v>400</v>
      </c>
      <c r="D1318" s="14">
        <v>245.79356253202207</v>
      </c>
      <c r="E1318" s="14">
        <v>244.56471184460804</v>
      </c>
      <c r="F1318" s="14">
        <v>246.12445039394589</v>
      </c>
      <c r="G1318" s="14">
        <v>246.16638567729774</v>
      </c>
      <c r="H1318" s="14">
        <v>246.16997594139087</v>
      </c>
      <c r="I1318" s="14">
        <v>246.16997594139096</v>
      </c>
      <c r="J1318" s="14">
        <v>246.1699759413915</v>
      </c>
    </row>
    <row r="1319" spans="1:10" ht="15.75" x14ac:dyDescent="0.5">
      <c r="A1319" s="13" t="s">
        <v>313</v>
      </c>
      <c r="B1319" s="13" t="s">
        <v>411</v>
      </c>
      <c r="C1319" s="13" t="s">
        <v>400</v>
      </c>
      <c r="D1319" s="14">
        <v>7.1394000000000162</v>
      </c>
      <c r="E1319" s="14">
        <v>6.1050706064712994</v>
      </c>
      <c r="F1319" s="14">
        <v>1.927200000000006</v>
      </c>
      <c r="G1319" s="14">
        <v>1.9272000000000054</v>
      </c>
      <c r="H1319" s="14">
        <v>1.9272000000000056</v>
      </c>
      <c r="I1319" s="14">
        <v>1.9272000000000054</v>
      </c>
      <c r="J1319" s="14">
        <v>1.9272000000000056</v>
      </c>
    </row>
    <row r="1320" spans="1:10" ht="15.75" x14ac:dyDescent="0.5">
      <c r="A1320" s="13" t="s">
        <v>313</v>
      </c>
      <c r="B1320" s="13" t="s">
        <v>412</v>
      </c>
      <c r="C1320" s="13" t="s">
        <v>400</v>
      </c>
      <c r="D1320" s="14">
        <v>760.72545968400163</v>
      </c>
      <c r="E1320" s="14">
        <v>748.16438294416753</v>
      </c>
      <c r="F1320" s="14">
        <v>636.24458085300785</v>
      </c>
      <c r="G1320" s="14">
        <v>692.71031409700186</v>
      </c>
      <c r="H1320" s="14">
        <v>706.42455540309732</v>
      </c>
      <c r="I1320" s="14">
        <v>706.4245554030972</v>
      </c>
      <c r="J1320" s="14">
        <v>688.9911967625834</v>
      </c>
    </row>
    <row r="1321" spans="1:10" ht="15.75" x14ac:dyDescent="0.5">
      <c r="A1321" s="13" t="s">
        <v>313</v>
      </c>
      <c r="B1321" s="13" t="s">
        <v>413</v>
      </c>
      <c r="C1321" s="13" t="s">
        <v>400</v>
      </c>
      <c r="D1321" s="14">
        <v>23.702927619886136</v>
      </c>
      <c r="E1321" s="14">
        <v>19.933627759814883</v>
      </c>
      <c r="F1321" s="14">
        <v>6.2672057419693523</v>
      </c>
      <c r="G1321" s="14">
        <v>2.6164787780898418</v>
      </c>
      <c r="H1321" s="14">
        <v>1.1479011286084968</v>
      </c>
      <c r="I1321" s="14">
        <v>0.89800080967702645</v>
      </c>
      <c r="J1321" s="14">
        <v>0.78119616873930009</v>
      </c>
    </row>
    <row r="1322" spans="1:10" ht="15.75" x14ac:dyDescent="0.5">
      <c r="A1322" s="13" t="s">
        <v>313</v>
      </c>
      <c r="B1322" s="13" t="s">
        <v>414</v>
      </c>
      <c r="C1322" s="13" t="s">
        <v>400</v>
      </c>
      <c r="D1322" s="14">
        <v>0.6803907705109502</v>
      </c>
      <c r="E1322" s="14">
        <v>24.430349541099527</v>
      </c>
      <c r="F1322" s="14">
        <v>100.46767476917664</v>
      </c>
      <c r="G1322" s="14">
        <v>206.7499476799172</v>
      </c>
      <c r="H1322" s="14">
        <v>253.3643577702646</v>
      </c>
      <c r="I1322" s="14">
        <v>254.88458057904364</v>
      </c>
      <c r="J1322" s="14">
        <v>256.06172410701708</v>
      </c>
    </row>
    <row r="1323" spans="1:10" ht="15.75" x14ac:dyDescent="0.5">
      <c r="A1323" s="13" t="s">
        <v>313</v>
      </c>
      <c r="B1323" s="13" t="s">
        <v>415</v>
      </c>
      <c r="C1323" s="13" t="s">
        <v>400</v>
      </c>
      <c r="D1323" s="14">
        <v>440.5312448325555</v>
      </c>
      <c r="E1323" s="14">
        <v>873.81161464141212</v>
      </c>
      <c r="F1323" s="14">
        <v>1351.3938116921015</v>
      </c>
      <c r="G1323" s="14">
        <v>1429.8007745913355</v>
      </c>
      <c r="H1323" s="14">
        <v>1579.578384400043</v>
      </c>
      <c r="I1323" s="14">
        <v>1841.8638698007703</v>
      </c>
      <c r="J1323" s="14">
        <v>2723.0438593123981</v>
      </c>
    </row>
    <row r="1324" spans="1:10" ht="15.75" x14ac:dyDescent="0.5">
      <c r="A1324" s="13" t="s">
        <v>313</v>
      </c>
      <c r="B1324" s="13" t="s">
        <v>416</v>
      </c>
      <c r="C1324" s="13" t="s">
        <v>400</v>
      </c>
      <c r="D1324" s="14" t="s">
        <v>250</v>
      </c>
      <c r="E1324" s="14">
        <v>70.93449868290071</v>
      </c>
      <c r="F1324" s="14">
        <v>100.19546122793696</v>
      </c>
      <c r="G1324" s="14">
        <v>127.69344447727374</v>
      </c>
      <c r="H1324" s="14">
        <v>145.88323771792344</v>
      </c>
      <c r="I1324" s="14">
        <v>165.77906731373221</v>
      </c>
      <c r="J1324" s="14">
        <v>186.2865730549081</v>
      </c>
    </row>
    <row r="1325" spans="1:10" ht="15.75" x14ac:dyDescent="0.5">
      <c r="A1325" s="13" t="s">
        <v>313</v>
      </c>
      <c r="B1325" s="13" t="s">
        <v>417</v>
      </c>
      <c r="C1325" s="13" t="s">
        <v>400</v>
      </c>
      <c r="D1325" s="14">
        <v>187.48709633408689</v>
      </c>
      <c r="E1325" s="14">
        <v>298.36286233429854</v>
      </c>
      <c r="F1325" s="14">
        <v>339.94935565504699</v>
      </c>
      <c r="G1325" s="14">
        <v>640.18744460003734</v>
      </c>
      <c r="H1325" s="14">
        <v>1234.352618510195</v>
      </c>
      <c r="I1325" s="14">
        <v>1893.3559293621513</v>
      </c>
      <c r="J1325" s="14">
        <v>2324.5017957507225</v>
      </c>
    </row>
    <row r="1326" spans="1:10" ht="15.75" x14ac:dyDescent="0.5">
      <c r="A1326" s="13" t="s">
        <v>313</v>
      </c>
      <c r="B1326" s="13" t="s">
        <v>418</v>
      </c>
      <c r="C1326" s="13" t="s">
        <v>400</v>
      </c>
      <c r="D1326" s="14">
        <v>3.184175173101953</v>
      </c>
      <c r="E1326" s="14">
        <v>3.1841751731019534</v>
      </c>
      <c r="F1326" s="14">
        <v>3.1841751731019534</v>
      </c>
      <c r="G1326" s="14">
        <v>3.184175173101953</v>
      </c>
      <c r="H1326" s="14">
        <v>3.184175173101953</v>
      </c>
      <c r="I1326" s="14">
        <v>3.1841751731019539</v>
      </c>
      <c r="J1326" s="14">
        <v>3.1841751731019534</v>
      </c>
    </row>
    <row r="1327" spans="1:10" ht="15.75" x14ac:dyDescent="0.5">
      <c r="A1327" s="13" t="s">
        <v>313</v>
      </c>
      <c r="B1327" s="13" t="s">
        <v>419</v>
      </c>
      <c r="C1327" s="13" t="s">
        <v>400</v>
      </c>
      <c r="D1327" s="14">
        <v>0.54465920264079515</v>
      </c>
      <c r="E1327" s="14">
        <v>8.0911309032149568</v>
      </c>
      <c r="F1327" s="14">
        <v>24.878209718524211</v>
      </c>
      <c r="G1327" s="14">
        <v>60.578106531225764</v>
      </c>
      <c r="H1327" s="14">
        <v>168.75523896885198</v>
      </c>
      <c r="I1327" s="14">
        <v>399.83831392600911</v>
      </c>
      <c r="J1327" s="14">
        <v>758.92452701363504</v>
      </c>
    </row>
    <row r="1328" spans="1:10" ht="15.75" x14ac:dyDescent="0.5">
      <c r="A1328" s="13" t="s">
        <v>313</v>
      </c>
      <c r="B1328" s="13" t="s">
        <v>420</v>
      </c>
      <c r="C1328" s="13" t="s">
        <v>400</v>
      </c>
      <c r="D1328" s="14">
        <v>-13.987252957808334</v>
      </c>
      <c r="E1328" s="14">
        <v>-13.637643492267198</v>
      </c>
      <c r="F1328" s="14">
        <v>-13.088235441579915</v>
      </c>
      <c r="G1328" s="14">
        <v>-12.795557414196049</v>
      </c>
      <c r="H1328" s="14">
        <v>-12.383741777379193</v>
      </c>
      <c r="I1328" s="14">
        <v>-15.059291808397827</v>
      </c>
      <c r="J1328" s="14">
        <v>-15.714000138924401</v>
      </c>
    </row>
    <row r="1329" spans="1:10" ht="15.75" x14ac:dyDescent="0.5">
      <c r="A1329" s="13" t="s">
        <v>314</v>
      </c>
      <c r="B1329" s="13" t="s">
        <v>399</v>
      </c>
      <c r="C1329" s="13" t="s">
        <v>400</v>
      </c>
      <c r="D1329" s="14">
        <v>7.2499064625597889</v>
      </c>
      <c r="E1329" s="14">
        <v>0.20898235810272825</v>
      </c>
      <c r="F1329" s="14">
        <v>0.51246000000000103</v>
      </c>
      <c r="G1329" s="14">
        <v>0.72464009734046297</v>
      </c>
      <c r="H1329" s="14">
        <v>0.82355430656934459</v>
      </c>
      <c r="I1329" s="14">
        <v>0.6539886178203963</v>
      </c>
      <c r="J1329" s="14">
        <v>0.54585240875912511</v>
      </c>
    </row>
    <row r="1330" spans="1:10" ht="15.75" x14ac:dyDescent="0.5">
      <c r="A1330" s="13" t="s">
        <v>314</v>
      </c>
      <c r="B1330" s="13" t="s">
        <v>401</v>
      </c>
      <c r="C1330" s="13" t="s">
        <v>400</v>
      </c>
      <c r="D1330" s="14" t="s">
        <v>250</v>
      </c>
      <c r="E1330" s="14" t="s">
        <v>250</v>
      </c>
      <c r="F1330" s="14">
        <v>77.867213721488483</v>
      </c>
      <c r="G1330" s="14">
        <v>77.867213721488483</v>
      </c>
      <c r="H1330" s="14">
        <v>19.833825611803576</v>
      </c>
      <c r="I1330" s="14">
        <v>18.860292546004448</v>
      </c>
      <c r="J1330" s="14" t="s">
        <v>250</v>
      </c>
    </row>
    <row r="1331" spans="1:10" ht="15.75" x14ac:dyDescent="0.5">
      <c r="A1331" s="13" t="s">
        <v>314</v>
      </c>
      <c r="B1331" s="13" t="s">
        <v>402</v>
      </c>
      <c r="C1331" s="13" t="s">
        <v>400</v>
      </c>
      <c r="D1331" s="14">
        <v>1072.9916742877463</v>
      </c>
      <c r="E1331" s="14">
        <v>398.9436407649373</v>
      </c>
      <c r="F1331" s="14">
        <v>215.1491721653754</v>
      </c>
      <c r="G1331" s="14">
        <v>300.4671496760966</v>
      </c>
      <c r="H1331" s="14">
        <v>286.86157718944327</v>
      </c>
      <c r="I1331" s="14">
        <v>224.76554249614901</v>
      </c>
      <c r="J1331" s="14">
        <v>200.48608076389237</v>
      </c>
    </row>
    <row r="1332" spans="1:10" ht="15.75" x14ac:dyDescent="0.5">
      <c r="A1332" s="13" t="s">
        <v>314</v>
      </c>
      <c r="B1332" s="13" t="s">
        <v>403</v>
      </c>
      <c r="C1332" s="13" t="s">
        <v>400</v>
      </c>
      <c r="D1332" s="14" t="s">
        <v>250</v>
      </c>
      <c r="E1332" s="14" t="s">
        <v>250</v>
      </c>
      <c r="F1332" s="14">
        <v>17.031861264000042</v>
      </c>
      <c r="G1332" s="14">
        <v>17.031861264000039</v>
      </c>
      <c r="H1332" s="14">
        <v>3.4154802000000073</v>
      </c>
      <c r="I1332" s="14">
        <v>3.4154802000000073</v>
      </c>
      <c r="J1332" s="14" t="s">
        <v>250</v>
      </c>
    </row>
    <row r="1333" spans="1:10" ht="15.75" x14ac:dyDescent="0.5">
      <c r="A1333" s="13" t="s">
        <v>314</v>
      </c>
      <c r="B1333" s="13" t="s">
        <v>404</v>
      </c>
      <c r="C1333" s="13" t="s">
        <v>400</v>
      </c>
      <c r="D1333" s="14" t="s">
        <v>250</v>
      </c>
      <c r="E1333" s="14" t="s">
        <v>250</v>
      </c>
      <c r="F1333" s="14" t="s">
        <v>250</v>
      </c>
      <c r="G1333" s="14" t="s">
        <v>250</v>
      </c>
      <c r="H1333" s="14" t="s">
        <v>250</v>
      </c>
      <c r="I1333" s="14">
        <v>0.33069896914528535</v>
      </c>
      <c r="J1333" s="14">
        <v>0.33069896914528535</v>
      </c>
    </row>
    <row r="1334" spans="1:10" ht="15.75" x14ac:dyDescent="0.5">
      <c r="A1334" s="13" t="s">
        <v>314</v>
      </c>
      <c r="B1334" s="13" t="s">
        <v>421</v>
      </c>
      <c r="C1334" s="13" t="s">
        <v>400</v>
      </c>
      <c r="D1334" s="14" t="s">
        <v>250</v>
      </c>
      <c r="E1334" s="14" t="s">
        <v>250</v>
      </c>
      <c r="F1334" s="14" t="s">
        <v>250</v>
      </c>
      <c r="G1334" s="14">
        <v>499.87486748059541</v>
      </c>
      <c r="H1334" s="14">
        <v>1347.5357348429172</v>
      </c>
      <c r="I1334" s="14">
        <v>1331.2124545780223</v>
      </c>
      <c r="J1334" s="14">
        <v>212.84401399901964</v>
      </c>
    </row>
    <row r="1335" spans="1:10" ht="15.75" x14ac:dyDescent="0.5">
      <c r="A1335" s="13" t="s">
        <v>314</v>
      </c>
      <c r="B1335" s="13" t="s">
        <v>405</v>
      </c>
      <c r="C1335" s="13" t="s">
        <v>400</v>
      </c>
      <c r="D1335" s="14">
        <v>1259.3891290889942</v>
      </c>
      <c r="E1335" s="14">
        <v>1332.2688870046698</v>
      </c>
      <c r="F1335" s="14">
        <v>1455.6828707111549</v>
      </c>
      <c r="G1335" s="14">
        <v>1251.0817917684105</v>
      </c>
      <c r="H1335" s="14">
        <v>857.21483401754915</v>
      </c>
      <c r="I1335" s="14">
        <v>826.59346500583285</v>
      </c>
      <c r="J1335" s="14">
        <v>1069.4845359615992</v>
      </c>
    </row>
    <row r="1336" spans="1:10" ht="15.75" x14ac:dyDescent="0.5">
      <c r="A1336" s="13" t="s">
        <v>314</v>
      </c>
      <c r="B1336" s="13" t="s">
        <v>406</v>
      </c>
      <c r="C1336" s="13" t="s">
        <v>400</v>
      </c>
      <c r="D1336" s="14">
        <v>23.479196814299335</v>
      </c>
      <c r="E1336" s="14">
        <v>20.554426329687551</v>
      </c>
      <c r="F1336" s="14">
        <v>43.076389238611135</v>
      </c>
      <c r="G1336" s="14">
        <v>42.894196755085666</v>
      </c>
      <c r="H1336" s="14">
        <v>43.315012803371076</v>
      </c>
      <c r="I1336" s="14">
        <v>41.758802215537159</v>
      </c>
      <c r="J1336" s="14">
        <v>37.76744573372757</v>
      </c>
    </row>
    <row r="1337" spans="1:10" ht="15.75" x14ac:dyDescent="0.5">
      <c r="A1337" s="13" t="s">
        <v>314</v>
      </c>
      <c r="B1337" s="13" t="s">
        <v>407</v>
      </c>
      <c r="C1337" s="13" t="s">
        <v>400</v>
      </c>
      <c r="D1337" s="14" t="s">
        <v>250</v>
      </c>
      <c r="E1337" s="14">
        <v>113.45941590534561</v>
      </c>
      <c r="F1337" s="14">
        <v>80.082003124520398</v>
      </c>
      <c r="G1337" s="14">
        <v>167.22290422645756</v>
      </c>
      <c r="H1337" s="14">
        <v>84.7724351275575</v>
      </c>
      <c r="I1337" s="14">
        <v>33.573294812378279</v>
      </c>
      <c r="J1337" s="14">
        <v>6.4876883197104727</v>
      </c>
    </row>
    <row r="1338" spans="1:10" ht="15.75" x14ac:dyDescent="0.5">
      <c r="A1338" s="13" t="s">
        <v>314</v>
      </c>
      <c r="B1338" s="13" t="s">
        <v>408</v>
      </c>
      <c r="C1338" s="13" t="s">
        <v>400</v>
      </c>
      <c r="D1338" s="14">
        <v>46.892290321001219</v>
      </c>
      <c r="E1338" s="14">
        <v>35.14587054475615</v>
      </c>
      <c r="F1338" s="14">
        <v>31.951243916224502</v>
      </c>
      <c r="G1338" s="14">
        <v>46.002883029413979</v>
      </c>
      <c r="H1338" s="14">
        <v>43.077484361313829</v>
      </c>
      <c r="I1338" s="14">
        <v>39.224379384935844</v>
      </c>
      <c r="J1338" s="14">
        <v>41.067925664233655</v>
      </c>
    </row>
    <row r="1339" spans="1:10" ht="15.75" x14ac:dyDescent="0.5">
      <c r="A1339" s="13" t="s">
        <v>314</v>
      </c>
      <c r="B1339" s="13" t="s">
        <v>409</v>
      </c>
      <c r="C1339" s="13" t="s">
        <v>400</v>
      </c>
      <c r="D1339" s="14">
        <v>18.365704270000037</v>
      </c>
      <c r="E1339" s="14">
        <v>18.365704270000037</v>
      </c>
      <c r="F1339" s="14">
        <v>18.36570427000003</v>
      </c>
      <c r="G1339" s="14">
        <v>18.365704270000034</v>
      </c>
      <c r="H1339" s="14">
        <v>18.365704270000027</v>
      </c>
      <c r="I1339" s="14">
        <v>18.365704270000041</v>
      </c>
      <c r="J1339" s="14">
        <v>18.365704270000034</v>
      </c>
    </row>
    <row r="1340" spans="1:10" ht="15.75" x14ac:dyDescent="0.5">
      <c r="A1340" s="13" t="s">
        <v>314</v>
      </c>
      <c r="B1340" s="13" t="s">
        <v>410</v>
      </c>
      <c r="C1340" s="13" t="s">
        <v>400</v>
      </c>
      <c r="D1340" s="14">
        <v>245.79356253202204</v>
      </c>
      <c r="E1340" s="14">
        <v>244.59201080129807</v>
      </c>
      <c r="F1340" s="14">
        <v>246.12445039394581</v>
      </c>
      <c r="G1340" s="14">
        <v>246.15017594139101</v>
      </c>
      <c r="H1340" s="14">
        <v>246.16997594139099</v>
      </c>
      <c r="I1340" s="14">
        <v>246.16997594139133</v>
      </c>
      <c r="J1340" s="14">
        <v>246.14974236474873</v>
      </c>
    </row>
    <row r="1341" spans="1:10" ht="15.75" x14ac:dyDescent="0.5">
      <c r="A1341" s="13" t="s">
        <v>314</v>
      </c>
      <c r="B1341" s="13" t="s">
        <v>411</v>
      </c>
      <c r="C1341" s="13" t="s">
        <v>400</v>
      </c>
      <c r="D1341" s="14">
        <v>7.1394000000000144</v>
      </c>
      <c r="E1341" s="14">
        <v>6.1907874501576821</v>
      </c>
      <c r="F1341" s="14" t="s">
        <v>250</v>
      </c>
      <c r="G1341" s="14" t="s">
        <v>250</v>
      </c>
      <c r="H1341" s="14" t="s">
        <v>250</v>
      </c>
      <c r="I1341" s="14" t="s">
        <v>250</v>
      </c>
      <c r="J1341" s="14" t="s">
        <v>250</v>
      </c>
    </row>
    <row r="1342" spans="1:10" ht="15.75" x14ac:dyDescent="0.5">
      <c r="A1342" s="13" t="s">
        <v>314</v>
      </c>
      <c r="B1342" s="13" t="s">
        <v>412</v>
      </c>
      <c r="C1342" s="13" t="s">
        <v>400</v>
      </c>
      <c r="D1342" s="14">
        <v>760.72545968400175</v>
      </c>
      <c r="E1342" s="14">
        <v>752.55784294482339</v>
      </c>
      <c r="F1342" s="14">
        <v>652.03217390440307</v>
      </c>
      <c r="G1342" s="14">
        <v>708.41280353415289</v>
      </c>
      <c r="H1342" s="14">
        <v>860.91903170108196</v>
      </c>
      <c r="I1342" s="14">
        <v>1150.7983137089466</v>
      </c>
      <c r="J1342" s="14">
        <v>1567.6539983417147</v>
      </c>
    </row>
    <row r="1343" spans="1:10" ht="15.75" x14ac:dyDescent="0.5">
      <c r="A1343" s="13" t="s">
        <v>314</v>
      </c>
      <c r="B1343" s="13" t="s">
        <v>413</v>
      </c>
      <c r="C1343" s="13" t="s">
        <v>400</v>
      </c>
      <c r="D1343" s="14">
        <v>23.702927619886129</v>
      </c>
      <c r="E1343" s="14">
        <v>19.943918447627258</v>
      </c>
      <c r="F1343" s="14">
        <v>5.9159160343485917</v>
      </c>
      <c r="G1343" s="14">
        <v>2.5188683917155732</v>
      </c>
      <c r="H1343" s="14">
        <v>1.1658550712361122</v>
      </c>
      <c r="I1343" s="14">
        <v>0.83209988853461148</v>
      </c>
      <c r="J1343" s="14">
        <v>0.9289651303788562</v>
      </c>
    </row>
    <row r="1344" spans="1:10" ht="15.75" x14ac:dyDescent="0.5">
      <c r="A1344" s="13" t="s">
        <v>314</v>
      </c>
      <c r="B1344" s="13" t="s">
        <v>414</v>
      </c>
      <c r="C1344" s="13" t="s">
        <v>400</v>
      </c>
      <c r="D1344" s="14">
        <v>0.6803907705109502</v>
      </c>
      <c r="E1344" s="14">
        <v>24.430349541099531</v>
      </c>
      <c r="F1344" s="14">
        <v>100.47354541553864</v>
      </c>
      <c r="G1344" s="14">
        <v>206.76610427668777</v>
      </c>
      <c r="H1344" s="14">
        <v>253.38065914492807</v>
      </c>
      <c r="I1344" s="14">
        <v>254.90098976703163</v>
      </c>
      <c r="J1344" s="14">
        <v>256.07821646528407</v>
      </c>
    </row>
    <row r="1345" spans="1:10" ht="15.75" x14ac:dyDescent="0.5">
      <c r="A1345" s="13" t="s">
        <v>314</v>
      </c>
      <c r="B1345" s="13" t="s">
        <v>415</v>
      </c>
      <c r="C1345" s="13" t="s">
        <v>400</v>
      </c>
      <c r="D1345" s="14">
        <v>440.53124483255573</v>
      </c>
      <c r="E1345" s="14">
        <v>873.81161476359773</v>
      </c>
      <c r="F1345" s="14">
        <v>1346.567333444905</v>
      </c>
      <c r="G1345" s="14">
        <v>1412.4215888481099</v>
      </c>
      <c r="H1345" s="14">
        <v>1540.9072420480957</v>
      </c>
      <c r="I1345" s="14">
        <v>1747.713918639346</v>
      </c>
      <c r="J1345" s="14">
        <v>2529.8364736355325</v>
      </c>
    </row>
    <row r="1346" spans="1:10" ht="15.75" x14ac:dyDescent="0.5">
      <c r="A1346" s="13" t="s">
        <v>314</v>
      </c>
      <c r="B1346" s="13" t="s">
        <v>416</v>
      </c>
      <c r="C1346" s="13" t="s">
        <v>400</v>
      </c>
      <c r="D1346" s="14" t="s">
        <v>250</v>
      </c>
      <c r="E1346" s="14">
        <v>70.93449868290071</v>
      </c>
      <c r="F1346" s="14">
        <v>100.195461227937</v>
      </c>
      <c r="G1346" s="14">
        <v>127.69344447727374</v>
      </c>
      <c r="H1346" s="14">
        <v>145.88323771792338</v>
      </c>
      <c r="I1346" s="14">
        <v>165.77906731373227</v>
      </c>
      <c r="J1346" s="14">
        <v>186.28657305490805</v>
      </c>
    </row>
    <row r="1347" spans="1:10" ht="15.75" x14ac:dyDescent="0.5">
      <c r="A1347" s="13" t="s">
        <v>314</v>
      </c>
      <c r="B1347" s="13" t="s">
        <v>417</v>
      </c>
      <c r="C1347" s="13" t="s">
        <v>400</v>
      </c>
      <c r="D1347" s="14">
        <v>187.48709633408691</v>
      </c>
      <c r="E1347" s="14">
        <v>298.36286233429843</v>
      </c>
      <c r="F1347" s="14">
        <v>339.98430393991634</v>
      </c>
      <c r="G1347" s="14">
        <v>643.31867402178898</v>
      </c>
      <c r="H1347" s="14">
        <v>1175.329885712046</v>
      </c>
      <c r="I1347" s="14">
        <v>1737.3489412227102</v>
      </c>
      <c r="J1347" s="14">
        <v>2098.4747335343468</v>
      </c>
    </row>
    <row r="1348" spans="1:10" ht="15.75" x14ac:dyDescent="0.5">
      <c r="A1348" s="13" t="s">
        <v>314</v>
      </c>
      <c r="B1348" s="13" t="s">
        <v>418</v>
      </c>
      <c r="C1348" s="13" t="s">
        <v>400</v>
      </c>
      <c r="D1348" s="14">
        <v>3.1841751731019534</v>
      </c>
      <c r="E1348" s="14">
        <v>3.1841751731019534</v>
      </c>
      <c r="F1348" s="14">
        <v>3.1841751731019534</v>
      </c>
      <c r="G1348" s="14">
        <v>3.1841751731019534</v>
      </c>
      <c r="H1348" s="14">
        <v>3.1841751731019534</v>
      </c>
      <c r="I1348" s="14">
        <v>3.184175173101953</v>
      </c>
      <c r="J1348" s="14">
        <v>3.1841751731019534</v>
      </c>
    </row>
    <row r="1349" spans="1:10" ht="15.75" x14ac:dyDescent="0.5">
      <c r="A1349" s="13" t="s">
        <v>314</v>
      </c>
      <c r="B1349" s="13" t="s">
        <v>419</v>
      </c>
      <c r="C1349" s="13" t="s">
        <v>400</v>
      </c>
      <c r="D1349" s="14">
        <v>0.54465920264079493</v>
      </c>
      <c r="E1349" s="14">
        <v>8.1014744317134166</v>
      </c>
      <c r="F1349" s="14">
        <v>23.839689299041318</v>
      </c>
      <c r="G1349" s="14">
        <v>58.174646530653632</v>
      </c>
      <c r="H1349" s="14">
        <v>122.80931390883565</v>
      </c>
      <c r="I1349" s="14">
        <v>289.85182101665669</v>
      </c>
      <c r="J1349" s="14">
        <v>523.4604469727285</v>
      </c>
    </row>
    <row r="1350" spans="1:10" ht="15.75" x14ac:dyDescent="0.5">
      <c r="A1350" s="13" t="s">
        <v>314</v>
      </c>
      <c r="B1350" s="13" t="s">
        <v>420</v>
      </c>
      <c r="C1350" s="13" t="s">
        <v>400</v>
      </c>
      <c r="D1350" s="14">
        <v>-13.987252957808444</v>
      </c>
      <c r="E1350" s="14">
        <v>-13.641083970015867</v>
      </c>
      <c r="F1350" s="14">
        <v>-13.473322814952141</v>
      </c>
      <c r="G1350" s="14">
        <v>-12.813240762181394</v>
      </c>
      <c r="H1350" s="14">
        <v>-12.270374687634133</v>
      </c>
      <c r="I1350" s="14">
        <v>-15.599502438264164</v>
      </c>
      <c r="J1350" s="14">
        <v>-17.098869218218752</v>
      </c>
    </row>
    <row r="1351" spans="1:10" ht="15.75" x14ac:dyDescent="0.5">
      <c r="A1351" s="13" t="s">
        <v>315</v>
      </c>
      <c r="B1351" s="13" t="s">
        <v>399</v>
      </c>
      <c r="C1351" s="13" t="s">
        <v>400</v>
      </c>
      <c r="D1351" s="14">
        <v>7.2499064625597898</v>
      </c>
      <c r="E1351" s="14">
        <v>0.20898235810271781</v>
      </c>
      <c r="F1351" s="14">
        <v>0.51246000000000103</v>
      </c>
      <c r="G1351" s="14">
        <v>1.1024830895516362</v>
      </c>
      <c r="H1351" s="14">
        <v>1.5115746445519798</v>
      </c>
      <c r="I1351" s="14">
        <v>2.0449102773722663</v>
      </c>
      <c r="J1351" s="14">
        <v>2.9658106486996845</v>
      </c>
    </row>
    <row r="1352" spans="1:10" ht="15.75" x14ac:dyDescent="0.5">
      <c r="A1352" s="13" t="s">
        <v>315</v>
      </c>
      <c r="B1352" s="13" t="s">
        <v>401</v>
      </c>
      <c r="C1352" s="13" t="s">
        <v>400</v>
      </c>
      <c r="D1352" s="14" t="s">
        <v>250</v>
      </c>
      <c r="E1352" s="14" t="s">
        <v>250</v>
      </c>
      <c r="F1352" s="14">
        <v>144.26953715244181</v>
      </c>
      <c r="G1352" s="14">
        <v>144.26953715244179</v>
      </c>
      <c r="H1352" s="14">
        <v>38.616970494378776</v>
      </c>
      <c r="I1352" s="14">
        <v>27.05317196475054</v>
      </c>
      <c r="J1352" s="14" t="s">
        <v>250</v>
      </c>
    </row>
    <row r="1353" spans="1:10" ht="15.75" x14ac:dyDescent="0.5">
      <c r="A1353" s="13" t="s">
        <v>315</v>
      </c>
      <c r="B1353" s="13" t="s">
        <v>402</v>
      </c>
      <c r="C1353" s="13" t="s">
        <v>400</v>
      </c>
      <c r="D1353" s="14">
        <v>1072.9916742877465</v>
      </c>
      <c r="E1353" s="14">
        <v>401.4155822513963</v>
      </c>
      <c r="F1353" s="14">
        <v>160.47679942150248</v>
      </c>
      <c r="G1353" s="14">
        <v>131.15976465171474</v>
      </c>
      <c r="H1353" s="14">
        <v>81.798606047089109</v>
      </c>
      <c r="I1353" s="14">
        <v>11.777840566011854</v>
      </c>
      <c r="J1353" s="14" t="s">
        <v>250</v>
      </c>
    </row>
    <row r="1354" spans="1:10" ht="15.75" x14ac:dyDescent="0.5">
      <c r="A1354" s="13" t="s">
        <v>315</v>
      </c>
      <c r="B1354" s="13" t="s">
        <v>403</v>
      </c>
      <c r="C1354" s="13" t="s">
        <v>400</v>
      </c>
      <c r="D1354" s="14" t="s">
        <v>250</v>
      </c>
      <c r="E1354" s="14" t="s">
        <v>250</v>
      </c>
      <c r="F1354" s="14">
        <v>80.721740207271637</v>
      </c>
      <c r="G1354" s="14">
        <v>80.721740207271608</v>
      </c>
      <c r="H1354" s="14">
        <v>19.643593407039727</v>
      </c>
      <c r="I1354" s="14">
        <v>30.821256519610106</v>
      </c>
      <c r="J1354" s="14" t="s">
        <v>250</v>
      </c>
    </row>
    <row r="1355" spans="1:10" ht="15.75" x14ac:dyDescent="0.5">
      <c r="A1355" s="13" t="s">
        <v>315</v>
      </c>
      <c r="B1355" s="13" t="s">
        <v>404</v>
      </c>
      <c r="C1355" s="13" t="s">
        <v>400</v>
      </c>
      <c r="D1355" s="14" t="s">
        <v>250</v>
      </c>
      <c r="E1355" s="14" t="s">
        <v>250</v>
      </c>
      <c r="F1355" s="14" t="s">
        <v>250</v>
      </c>
      <c r="G1355" s="14" t="s">
        <v>250</v>
      </c>
      <c r="H1355" s="14" t="s">
        <v>250</v>
      </c>
      <c r="I1355" s="14">
        <v>0.33069896914528535</v>
      </c>
      <c r="J1355" s="14">
        <v>4.223086756139935</v>
      </c>
    </row>
    <row r="1356" spans="1:10" ht="15.75" x14ac:dyDescent="0.5">
      <c r="A1356" s="13" t="s">
        <v>315</v>
      </c>
      <c r="B1356" s="13" t="s">
        <v>421</v>
      </c>
      <c r="C1356" s="13" t="s">
        <v>400</v>
      </c>
      <c r="D1356" s="14" t="s">
        <v>250</v>
      </c>
      <c r="E1356" s="14" t="s">
        <v>250</v>
      </c>
      <c r="F1356" s="14" t="s">
        <v>250</v>
      </c>
      <c r="G1356" s="14">
        <v>236.17601955344347</v>
      </c>
      <c r="H1356" s="14">
        <v>636.11867871500579</v>
      </c>
      <c r="I1356" s="14">
        <v>628.44279721820067</v>
      </c>
      <c r="J1356" s="14">
        <v>369.05255347869218</v>
      </c>
    </row>
    <row r="1357" spans="1:10" ht="15.75" x14ac:dyDescent="0.5">
      <c r="A1357" s="13" t="s">
        <v>315</v>
      </c>
      <c r="B1357" s="13" t="s">
        <v>405</v>
      </c>
      <c r="C1357" s="13" t="s">
        <v>400</v>
      </c>
      <c r="D1357" s="14">
        <v>1259.3891290889947</v>
      </c>
      <c r="E1357" s="14">
        <v>1327.1110065201078</v>
      </c>
      <c r="F1357" s="14">
        <v>1380.3202412425849</v>
      </c>
      <c r="G1357" s="14">
        <v>1230.5745184737018</v>
      </c>
      <c r="H1357" s="14">
        <v>940.03394263049688</v>
      </c>
      <c r="I1357" s="14">
        <v>664.82172483779266</v>
      </c>
      <c r="J1357" s="14">
        <v>281.15114103731753</v>
      </c>
    </row>
    <row r="1358" spans="1:10" ht="15.75" x14ac:dyDescent="0.5">
      <c r="A1358" s="13" t="s">
        <v>315</v>
      </c>
      <c r="B1358" s="13" t="s">
        <v>406</v>
      </c>
      <c r="C1358" s="13" t="s">
        <v>400</v>
      </c>
      <c r="D1358" s="14">
        <v>23.479196814299328</v>
      </c>
      <c r="E1358" s="14">
        <v>21.038947237248884</v>
      </c>
      <c r="F1358" s="14">
        <v>42.887841620855355</v>
      </c>
      <c r="G1358" s="14">
        <v>44.069231522427735</v>
      </c>
      <c r="H1358" s="14">
        <v>43.508808588634807</v>
      </c>
      <c r="I1358" s="14">
        <v>39.984150519298765</v>
      </c>
      <c r="J1358" s="14">
        <v>32.62461063593657</v>
      </c>
    </row>
    <row r="1359" spans="1:10" ht="15.75" x14ac:dyDescent="0.5">
      <c r="A1359" s="13" t="s">
        <v>315</v>
      </c>
      <c r="B1359" s="13" t="s">
        <v>407</v>
      </c>
      <c r="C1359" s="13" t="s">
        <v>400</v>
      </c>
      <c r="D1359" s="14" t="s">
        <v>250</v>
      </c>
      <c r="E1359" s="14">
        <v>120.11570965963287</v>
      </c>
      <c r="F1359" s="14">
        <v>90.846621844995397</v>
      </c>
      <c r="G1359" s="14">
        <v>269.70812465197844</v>
      </c>
      <c r="H1359" s="14">
        <v>213.40633634022791</v>
      </c>
      <c r="I1359" s="14">
        <v>125.49275973465917</v>
      </c>
      <c r="J1359" s="14">
        <v>42.197342425484109</v>
      </c>
    </row>
    <row r="1360" spans="1:10" ht="15.75" x14ac:dyDescent="0.5">
      <c r="A1360" s="13" t="s">
        <v>315</v>
      </c>
      <c r="B1360" s="13" t="s">
        <v>408</v>
      </c>
      <c r="C1360" s="13" t="s">
        <v>400</v>
      </c>
      <c r="D1360" s="14">
        <v>46.892290321001234</v>
      </c>
      <c r="E1360" s="14">
        <v>35.148039280919278</v>
      </c>
      <c r="F1360" s="14">
        <v>31.630844919485167</v>
      </c>
      <c r="G1360" s="14">
        <v>46.104782805869135</v>
      </c>
      <c r="H1360" s="14">
        <v>46.790170003358696</v>
      </c>
      <c r="I1360" s="14">
        <v>43.961594436195149</v>
      </c>
      <c r="J1360" s="14">
        <v>38.020723239714918</v>
      </c>
    </row>
    <row r="1361" spans="1:10" ht="15.75" x14ac:dyDescent="0.5">
      <c r="A1361" s="13" t="s">
        <v>315</v>
      </c>
      <c r="B1361" s="13" t="s">
        <v>409</v>
      </c>
      <c r="C1361" s="13" t="s">
        <v>400</v>
      </c>
      <c r="D1361" s="14">
        <v>18.365704270000034</v>
      </c>
      <c r="E1361" s="14">
        <v>18.365704270000034</v>
      </c>
      <c r="F1361" s="14">
        <v>18.36570427000003</v>
      </c>
      <c r="G1361" s="14">
        <v>18.365704270000034</v>
      </c>
      <c r="H1361" s="14">
        <v>18.36570427000003</v>
      </c>
      <c r="I1361" s="14">
        <v>18.365704270000034</v>
      </c>
      <c r="J1361" s="14">
        <v>17.56734938865343</v>
      </c>
    </row>
    <row r="1362" spans="1:10" ht="15.75" x14ac:dyDescent="0.5">
      <c r="A1362" s="13" t="s">
        <v>315</v>
      </c>
      <c r="B1362" s="13" t="s">
        <v>410</v>
      </c>
      <c r="C1362" s="13" t="s">
        <v>400</v>
      </c>
      <c r="D1362" s="14">
        <v>245.79356253202212</v>
      </c>
      <c r="E1362" s="14">
        <v>244.61566284570029</v>
      </c>
      <c r="F1362" s="14">
        <v>246.06760632191475</v>
      </c>
      <c r="G1362" s="14">
        <v>246.16495472800207</v>
      </c>
      <c r="H1362" s="14">
        <v>246.16997594139016</v>
      </c>
      <c r="I1362" s="14">
        <v>246.16997594139369</v>
      </c>
      <c r="J1362" s="14">
        <v>246.16997594139556</v>
      </c>
    </row>
    <row r="1363" spans="1:10" ht="15.75" x14ac:dyDescent="0.5">
      <c r="A1363" s="13" t="s">
        <v>315</v>
      </c>
      <c r="B1363" s="13" t="s">
        <v>411</v>
      </c>
      <c r="C1363" s="13" t="s">
        <v>400</v>
      </c>
      <c r="D1363" s="14">
        <v>7.139400000000018</v>
      </c>
      <c r="E1363" s="14">
        <v>5.8260569343065836</v>
      </c>
      <c r="F1363" s="14" t="s">
        <v>250</v>
      </c>
      <c r="G1363" s="14" t="s">
        <v>250</v>
      </c>
      <c r="H1363" s="14" t="s">
        <v>250</v>
      </c>
      <c r="I1363" s="14" t="s">
        <v>250</v>
      </c>
      <c r="J1363" s="14" t="s">
        <v>250</v>
      </c>
    </row>
    <row r="1364" spans="1:10" ht="15.75" x14ac:dyDescent="0.5">
      <c r="A1364" s="13" t="s">
        <v>315</v>
      </c>
      <c r="B1364" s="13" t="s">
        <v>412</v>
      </c>
      <c r="C1364" s="13" t="s">
        <v>400</v>
      </c>
      <c r="D1364" s="14">
        <v>760.72545968400175</v>
      </c>
      <c r="E1364" s="14">
        <v>748.51588285547984</v>
      </c>
      <c r="F1364" s="14">
        <v>642.19920670164777</v>
      </c>
      <c r="G1364" s="14">
        <v>710.93250217085358</v>
      </c>
      <c r="H1364" s="14">
        <v>721.94202012582866</v>
      </c>
      <c r="I1364" s="14">
        <v>717.80578468695114</v>
      </c>
      <c r="J1364" s="14">
        <v>692.78924164247189</v>
      </c>
    </row>
    <row r="1365" spans="1:10" ht="15.75" x14ac:dyDescent="0.5">
      <c r="A1365" s="13" t="s">
        <v>315</v>
      </c>
      <c r="B1365" s="13" t="s">
        <v>413</v>
      </c>
      <c r="C1365" s="13" t="s">
        <v>400</v>
      </c>
      <c r="D1365" s="14">
        <v>23.702927619886133</v>
      </c>
      <c r="E1365" s="14">
        <v>20.226111048011887</v>
      </c>
      <c r="F1365" s="14">
        <v>5.8196875773818988</v>
      </c>
      <c r="G1365" s="14">
        <v>1.9553154471513696</v>
      </c>
      <c r="H1365" s="14">
        <v>1.3078709829258348</v>
      </c>
      <c r="I1365" s="14">
        <v>0.62088103225825475</v>
      </c>
      <c r="J1365" s="14">
        <v>6.8876934306569382E-2</v>
      </c>
    </row>
    <row r="1366" spans="1:10" ht="15.75" x14ac:dyDescent="0.5">
      <c r="A1366" s="13" t="s">
        <v>315</v>
      </c>
      <c r="B1366" s="13" t="s">
        <v>414</v>
      </c>
      <c r="C1366" s="13" t="s">
        <v>400</v>
      </c>
      <c r="D1366" s="14">
        <v>0.68039077051095009</v>
      </c>
      <c r="E1366" s="14">
        <v>24.430349541099531</v>
      </c>
      <c r="F1366" s="14">
        <v>100.44738721606105</v>
      </c>
      <c r="G1366" s="14">
        <v>206.74108015796691</v>
      </c>
      <c r="H1366" s="14">
        <v>253.43575157785639</v>
      </c>
      <c r="I1366" s="14">
        <v>254.95644656790256</v>
      </c>
      <c r="J1366" s="14">
        <v>256.13395434999649</v>
      </c>
    </row>
    <row r="1367" spans="1:10" ht="15.75" x14ac:dyDescent="0.5">
      <c r="A1367" s="13" t="s">
        <v>315</v>
      </c>
      <c r="B1367" s="13" t="s">
        <v>415</v>
      </c>
      <c r="C1367" s="13" t="s">
        <v>400</v>
      </c>
      <c r="D1367" s="14">
        <v>440.53124483255561</v>
      </c>
      <c r="E1367" s="14">
        <v>873.81161464141223</v>
      </c>
      <c r="F1367" s="14">
        <v>1349.5268455254791</v>
      </c>
      <c r="G1367" s="14">
        <v>1506.9563301059684</v>
      </c>
      <c r="H1367" s="14">
        <v>2014.7759532169305</v>
      </c>
      <c r="I1367" s="14">
        <v>2666.6527723060822</v>
      </c>
      <c r="J1367" s="14">
        <v>3394.8889500285054</v>
      </c>
    </row>
    <row r="1368" spans="1:10" ht="15.75" x14ac:dyDescent="0.5">
      <c r="A1368" s="13" t="s">
        <v>315</v>
      </c>
      <c r="B1368" s="13" t="s">
        <v>416</v>
      </c>
      <c r="C1368" s="13" t="s">
        <v>400</v>
      </c>
      <c r="D1368" s="14" t="s">
        <v>250</v>
      </c>
      <c r="E1368" s="14">
        <v>70.934498682900752</v>
      </c>
      <c r="F1368" s="14">
        <v>100.195461227937</v>
      </c>
      <c r="G1368" s="14">
        <v>127.69344447727374</v>
      </c>
      <c r="H1368" s="14">
        <v>145.88323771792335</v>
      </c>
      <c r="I1368" s="14">
        <v>165.77906731373221</v>
      </c>
      <c r="J1368" s="14">
        <v>186.2865730549081</v>
      </c>
    </row>
    <row r="1369" spans="1:10" ht="15.75" x14ac:dyDescent="0.5">
      <c r="A1369" s="13" t="s">
        <v>315</v>
      </c>
      <c r="B1369" s="13" t="s">
        <v>417</v>
      </c>
      <c r="C1369" s="13" t="s">
        <v>400</v>
      </c>
      <c r="D1369" s="14">
        <v>187.48709633408686</v>
      </c>
      <c r="E1369" s="14">
        <v>298.30786724466168</v>
      </c>
      <c r="F1369" s="14">
        <v>339.94935565504699</v>
      </c>
      <c r="G1369" s="14">
        <v>754.90491019359888</v>
      </c>
      <c r="H1369" s="14">
        <v>1549.2554680470346</v>
      </c>
      <c r="I1369" s="14">
        <v>2338.9903972204029</v>
      </c>
      <c r="J1369" s="14">
        <v>3265.1486734249788</v>
      </c>
    </row>
    <row r="1370" spans="1:10" ht="15.75" x14ac:dyDescent="0.5">
      <c r="A1370" s="13" t="s">
        <v>315</v>
      </c>
      <c r="B1370" s="13" t="s">
        <v>418</v>
      </c>
      <c r="C1370" s="13" t="s">
        <v>400</v>
      </c>
      <c r="D1370" s="14">
        <v>3.1841751731019534</v>
      </c>
      <c r="E1370" s="14">
        <v>3.184175173101953</v>
      </c>
      <c r="F1370" s="14">
        <v>3.1841751731019539</v>
      </c>
      <c r="G1370" s="14">
        <v>3.1841751731019534</v>
      </c>
      <c r="H1370" s="14">
        <v>3.1841751731019539</v>
      </c>
      <c r="I1370" s="14">
        <v>3.1841751731019534</v>
      </c>
      <c r="J1370" s="14">
        <v>3.1841751731019539</v>
      </c>
    </row>
    <row r="1371" spans="1:10" ht="15.75" x14ac:dyDescent="0.5">
      <c r="A1371" s="13" t="s">
        <v>315</v>
      </c>
      <c r="B1371" s="13" t="s">
        <v>419</v>
      </c>
      <c r="C1371" s="13" t="s">
        <v>400</v>
      </c>
      <c r="D1371" s="14">
        <v>0.54465920264079493</v>
      </c>
      <c r="E1371" s="14">
        <v>8.2549550345496154</v>
      </c>
      <c r="F1371" s="14">
        <v>27.867364611482426</v>
      </c>
      <c r="G1371" s="14">
        <v>114.9447045931704</v>
      </c>
      <c r="H1371" s="14">
        <v>430.33812792399175</v>
      </c>
      <c r="I1371" s="14">
        <v>1059.5179798417682</v>
      </c>
      <c r="J1371" s="14">
        <v>2244.1480624605233</v>
      </c>
    </row>
    <row r="1372" spans="1:10" ht="15.75" x14ac:dyDescent="0.5">
      <c r="A1372" s="13" t="s">
        <v>315</v>
      </c>
      <c r="B1372" s="13" t="s">
        <v>420</v>
      </c>
      <c r="C1372" s="13" t="s">
        <v>400</v>
      </c>
      <c r="D1372" s="14">
        <v>-13.987252957808337</v>
      </c>
      <c r="E1372" s="14">
        <v>-13.664082052880778</v>
      </c>
      <c r="F1372" s="14">
        <v>-13.257132046155498</v>
      </c>
      <c r="G1372" s="14">
        <v>-12.395777176325421</v>
      </c>
      <c r="H1372" s="14">
        <v>-12.193015452651782</v>
      </c>
      <c r="I1372" s="14">
        <v>-14.527073195099337</v>
      </c>
      <c r="J1372" s="14">
        <v>-16.971057270502808</v>
      </c>
    </row>
    <row r="1373" spans="1:10" ht="15.75" x14ac:dyDescent="0.5">
      <c r="A1373" s="13" t="s">
        <v>316</v>
      </c>
      <c r="B1373" s="13" t="s">
        <v>399</v>
      </c>
      <c r="C1373" s="13" t="s">
        <v>400</v>
      </c>
      <c r="D1373" s="14">
        <v>7.2499064625597889</v>
      </c>
      <c r="E1373" s="14">
        <v>0.20898235810273502</v>
      </c>
      <c r="F1373" s="14">
        <v>0.51246000000000125</v>
      </c>
      <c r="G1373" s="14">
        <v>1.0837824448931888</v>
      </c>
      <c r="H1373" s="14">
        <v>1.5529433722993891</v>
      </c>
      <c r="I1373" s="14">
        <v>2.3464657226277414</v>
      </c>
      <c r="J1373" s="14">
        <v>2.4882528175182532</v>
      </c>
    </row>
    <row r="1374" spans="1:10" ht="15.75" x14ac:dyDescent="0.5">
      <c r="A1374" s="13" t="s">
        <v>316</v>
      </c>
      <c r="B1374" s="13" t="s">
        <v>401</v>
      </c>
      <c r="C1374" s="13" t="s">
        <v>400</v>
      </c>
      <c r="D1374" s="14" t="s">
        <v>250</v>
      </c>
      <c r="E1374" s="14" t="s">
        <v>250</v>
      </c>
      <c r="F1374" s="14">
        <v>144.6074035625505</v>
      </c>
      <c r="G1374" s="14">
        <v>144.60740356255053</v>
      </c>
      <c r="H1374" s="14">
        <v>38.130550715498551</v>
      </c>
      <c r="I1374" s="14">
        <v>26.648005978721674</v>
      </c>
      <c r="J1374" s="14" t="s">
        <v>250</v>
      </c>
    </row>
    <row r="1375" spans="1:10" ht="15.75" x14ac:dyDescent="0.5">
      <c r="A1375" s="13" t="s">
        <v>316</v>
      </c>
      <c r="B1375" s="13" t="s">
        <v>402</v>
      </c>
      <c r="C1375" s="13" t="s">
        <v>400</v>
      </c>
      <c r="D1375" s="14">
        <v>1072.9916742877463</v>
      </c>
      <c r="E1375" s="14">
        <v>401.48183434000083</v>
      </c>
      <c r="F1375" s="14">
        <v>158.73417854834119</v>
      </c>
      <c r="G1375" s="14">
        <v>128.56722689978298</v>
      </c>
      <c r="H1375" s="14">
        <v>77.129578220206625</v>
      </c>
      <c r="I1375" s="14">
        <v>10.109131164643948</v>
      </c>
      <c r="J1375" s="14" t="s">
        <v>250</v>
      </c>
    </row>
    <row r="1376" spans="1:10" ht="15.75" x14ac:dyDescent="0.5">
      <c r="A1376" s="13" t="s">
        <v>316</v>
      </c>
      <c r="B1376" s="13" t="s">
        <v>403</v>
      </c>
      <c r="C1376" s="13" t="s">
        <v>400</v>
      </c>
      <c r="D1376" s="14" t="s">
        <v>250</v>
      </c>
      <c r="E1376" s="14" t="s">
        <v>250</v>
      </c>
      <c r="F1376" s="14">
        <v>82.168290694750581</v>
      </c>
      <c r="G1376" s="14">
        <v>82.168290694750596</v>
      </c>
      <c r="H1376" s="14">
        <v>20.051155704964078</v>
      </c>
      <c r="I1376" s="14">
        <v>31.102999575446376</v>
      </c>
      <c r="J1376" s="14" t="s">
        <v>250</v>
      </c>
    </row>
    <row r="1377" spans="1:10" ht="15.75" x14ac:dyDescent="0.5">
      <c r="A1377" s="13" t="s">
        <v>316</v>
      </c>
      <c r="B1377" s="13" t="s">
        <v>404</v>
      </c>
      <c r="C1377" s="13" t="s">
        <v>400</v>
      </c>
      <c r="D1377" s="14" t="s">
        <v>250</v>
      </c>
      <c r="E1377" s="14" t="s">
        <v>250</v>
      </c>
      <c r="F1377" s="14" t="s">
        <v>250</v>
      </c>
      <c r="G1377" s="14" t="s">
        <v>250</v>
      </c>
      <c r="H1377" s="14" t="s">
        <v>250</v>
      </c>
      <c r="I1377" s="14">
        <v>0.33069896914528535</v>
      </c>
      <c r="J1377" s="14">
        <v>4.7991222000000118</v>
      </c>
    </row>
    <row r="1378" spans="1:10" ht="15.75" x14ac:dyDescent="0.5">
      <c r="A1378" s="13" t="s">
        <v>316</v>
      </c>
      <c r="B1378" s="13" t="s">
        <v>421</v>
      </c>
      <c r="C1378" s="13" t="s">
        <v>400</v>
      </c>
      <c r="D1378" s="14" t="s">
        <v>250</v>
      </c>
      <c r="E1378" s="14" t="s">
        <v>250</v>
      </c>
      <c r="F1378" s="14" t="s">
        <v>250</v>
      </c>
      <c r="G1378" s="14">
        <v>223.03309303480773</v>
      </c>
      <c r="H1378" s="14">
        <v>601.2168379674597</v>
      </c>
      <c r="I1378" s="14">
        <v>595.65899473048341</v>
      </c>
      <c r="J1378" s="14">
        <v>254.44055921310471</v>
      </c>
    </row>
    <row r="1379" spans="1:10" ht="15.75" x14ac:dyDescent="0.5">
      <c r="A1379" s="13" t="s">
        <v>316</v>
      </c>
      <c r="B1379" s="13" t="s">
        <v>405</v>
      </c>
      <c r="C1379" s="13" t="s">
        <v>400</v>
      </c>
      <c r="D1379" s="14">
        <v>1259.3891290889947</v>
      </c>
      <c r="E1379" s="14">
        <v>1326.8163850670542</v>
      </c>
      <c r="F1379" s="14">
        <v>1379.4517988752514</v>
      </c>
      <c r="G1379" s="14">
        <v>1238.0319063330446</v>
      </c>
      <c r="H1379" s="14">
        <v>956.21682816851967</v>
      </c>
      <c r="I1379" s="14">
        <v>671.24370615399482</v>
      </c>
      <c r="J1379" s="14">
        <v>277.2186827154693</v>
      </c>
    </row>
    <row r="1380" spans="1:10" ht="15.75" x14ac:dyDescent="0.5">
      <c r="A1380" s="13" t="s">
        <v>316</v>
      </c>
      <c r="B1380" s="13" t="s">
        <v>406</v>
      </c>
      <c r="C1380" s="13" t="s">
        <v>400</v>
      </c>
      <c r="D1380" s="14">
        <v>23.479196814299339</v>
      </c>
      <c r="E1380" s="14">
        <v>21.174952018251275</v>
      </c>
      <c r="F1380" s="14">
        <v>42.906663381221563</v>
      </c>
      <c r="G1380" s="14">
        <v>44.168301617575281</v>
      </c>
      <c r="H1380" s="14">
        <v>43.673651800357291</v>
      </c>
      <c r="I1380" s="14">
        <v>40.141504558823243</v>
      </c>
      <c r="J1380" s="14">
        <v>33.669515637536108</v>
      </c>
    </row>
    <row r="1381" spans="1:10" ht="15.75" x14ac:dyDescent="0.5">
      <c r="A1381" s="13" t="s">
        <v>316</v>
      </c>
      <c r="B1381" s="13" t="s">
        <v>407</v>
      </c>
      <c r="C1381" s="13" t="s">
        <v>400</v>
      </c>
      <c r="D1381" s="14" t="s">
        <v>250</v>
      </c>
      <c r="E1381" s="14">
        <v>120.23050166417117</v>
      </c>
      <c r="F1381" s="14">
        <v>90.729460255214207</v>
      </c>
      <c r="G1381" s="14">
        <v>271.03345703214541</v>
      </c>
      <c r="H1381" s="14">
        <v>211.76599240059537</v>
      </c>
      <c r="I1381" s="14">
        <v>125.24340247983073</v>
      </c>
      <c r="J1381" s="14">
        <v>24.276110678432559</v>
      </c>
    </row>
    <row r="1382" spans="1:10" ht="15.75" x14ac:dyDescent="0.5">
      <c r="A1382" s="13" t="s">
        <v>316</v>
      </c>
      <c r="B1382" s="13" t="s">
        <v>408</v>
      </c>
      <c r="C1382" s="13" t="s">
        <v>400</v>
      </c>
      <c r="D1382" s="14">
        <v>46.892290321001234</v>
      </c>
      <c r="E1382" s="14">
        <v>35.139547013813988</v>
      </c>
      <c r="F1382" s="14">
        <v>31.799744847953225</v>
      </c>
      <c r="G1382" s="14">
        <v>46.104801206070086</v>
      </c>
      <c r="H1382" s="14">
        <v>46.817846002498477</v>
      </c>
      <c r="I1382" s="14">
        <v>44.137592404924597</v>
      </c>
      <c r="J1382" s="14">
        <v>38.426142053915839</v>
      </c>
    </row>
    <row r="1383" spans="1:10" ht="15.75" x14ac:dyDescent="0.5">
      <c r="A1383" s="13" t="s">
        <v>316</v>
      </c>
      <c r="B1383" s="13" t="s">
        <v>409</v>
      </c>
      <c r="C1383" s="13" t="s">
        <v>400</v>
      </c>
      <c r="D1383" s="14">
        <v>18.365704270000034</v>
      </c>
      <c r="E1383" s="14">
        <v>18.365704270000034</v>
      </c>
      <c r="F1383" s="14">
        <v>18.36570427000003</v>
      </c>
      <c r="G1383" s="14">
        <v>18.365704270000034</v>
      </c>
      <c r="H1383" s="14">
        <v>18.365704270000034</v>
      </c>
      <c r="I1383" s="14">
        <v>18.365704270000041</v>
      </c>
      <c r="J1383" s="14">
        <v>17.644043009430167</v>
      </c>
    </row>
    <row r="1384" spans="1:10" ht="15.75" x14ac:dyDescent="0.5">
      <c r="A1384" s="13" t="s">
        <v>316</v>
      </c>
      <c r="B1384" s="13" t="s">
        <v>410</v>
      </c>
      <c r="C1384" s="13" t="s">
        <v>400</v>
      </c>
      <c r="D1384" s="14">
        <v>245.79356253202209</v>
      </c>
      <c r="E1384" s="14">
        <v>244.63684636798001</v>
      </c>
      <c r="F1384" s="14">
        <v>246.07039080019769</v>
      </c>
      <c r="G1384" s="14">
        <v>246.16824822031489</v>
      </c>
      <c r="H1384" s="14">
        <v>246.16997594158875</v>
      </c>
      <c r="I1384" s="14">
        <v>246.16997594138823</v>
      </c>
      <c r="J1384" s="14">
        <v>246.16997594139113</v>
      </c>
    </row>
    <row r="1385" spans="1:10" ht="15.75" x14ac:dyDescent="0.5">
      <c r="A1385" s="13" t="s">
        <v>316</v>
      </c>
      <c r="B1385" s="13" t="s">
        <v>411</v>
      </c>
      <c r="C1385" s="13" t="s">
        <v>400</v>
      </c>
      <c r="D1385" s="14">
        <v>7.1394000000000162</v>
      </c>
      <c r="E1385" s="14">
        <v>5.8260569343065836</v>
      </c>
      <c r="F1385" s="14" t="s">
        <v>250</v>
      </c>
      <c r="G1385" s="14" t="s">
        <v>250</v>
      </c>
      <c r="H1385" s="14" t="s">
        <v>250</v>
      </c>
      <c r="I1385" s="14" t="s">
        <v>250</v>
      </c>
      <c r="J1385" s="14" t="s">
        <v>250</v>
      </c>
    </row>
    <row r="1386" spans="1:10" ht="15.75" x14ac:dyDescent="0.5">
      <c r="A1386" s="13" t="s">
        <v>316</v>
      </c>
      <c r="B1386" s="13" t="s">
        <v>412</v>
      </c>
      <c r="C1386" s="13" t="s">
        <v>400</v>
      </c>
      <c r="D1386" s="14">
        <v>760.72545968400198</v>
      </c>
      <c r="E1386" s="14">
        <v>748.55523677099609</v>
      </c>
      <c r="F1386" s="14">
        <v>642.19613793168867</v>
      </c>
      <c r="G1386" s="14">
        <v>710.95449837810179</v>
      </c>
      <c r="H1386" s="14">
        <v>722.07244902587627</v>
      </c>
      <c r="I1386" s="14">
        <v>729.56576041046981</v>
      </c>
      <c r="J1386" s="14">
        <v>958.47996432828472</v>
      </c>
    </row>
    <row r="1387" spans="1:10" ht="15.75" x14ac:dyDescent="0.5">
      <c r="A1387" s="13" t="s">
        <v>316</v>
      </c>
      <c r="B1387" s="13" t="s">
        <v>413</v>
      </c>
      <c r="C1387" s="13" t="s">
        <v>400</v>
      </c>
      <c r="D1387" s="14">
        <v>23.70292761988614</v>
      </c>
      <c r="E1387" s="14">
        <v>20.220447363451306</v>
      </c>
      <c r="F1387" s="14">
        <v>5.8725447510352158</v>
      </c>
      <c r="G1387" s="14">
        <v>1.9579433325802031</v>
      </c>
      <c r="H1387" s="14">
        <v>1.2323066956207915</v>
      </c>
      <c r="I1387" s="14">
        <v>0.5767473870723635</v>
      </c>
      <c r="J1387" s="14">
        <v>4.8873284671532874E-2</v>
      </c>
    </row>
    <row r="1388" spans="1:10" ht="15.75" x14ac:dyDescent="0.5">
      <c r="A1388" s="13" t="s">
        <v>316</v>
      </c>
      <c r="B1388" s="13" t="s">
        <v>414</v>
      </c>
      <c r="C1388" s="13" t="s">
        <v>400</v>
      </c>
      <c r="D1388" s="14">
        <v>0.6803907705109502</v>
      </c>
      <c r="E1388" s="14">
        <v>24.430349586525207</v>
      </c>
      <c r="F1388" s="14">
        <v>100.44738741782132</v>
      </c>
      <c r="G1388" s="14">
        <v>206.74108036396905</v>
      </c>
      <c r="H1388" s="14">
        <v>253.43575178570444</v>
      </c>
      <c r="I1388" s="14">
        <v>254.95644677712528</v>
      </c>
      <c r="J1388" s="14">
        <v>256.13395456027962</v>
      </c>
    </row>
    <row r="1389" spans="1:10" ht="15.75" x14ac:dyDescent="0.5">
      <c r="A1389" s="13" t="s">
        <v>316</v>
      </c>
      <c r="B1389" s="13" t="s">
        <v>415</v>
      </c>
      <c r="C1389" s="13" t="s">
        <v>400</v>
      </c>
      <c r="D1389" s="14">
        <v>440.53124483255567</v>
      </c>
      <c r="E1389" s="14">
        <v>873.81161464141201</v>
      </c>
      <c r="F1389" s="14">
        <v>1349.6254465976638</v>
      </c>
      <c r="G1389" s="14">
        <v>1513.1988554435757</v>
      </c>
      <c r="H1389" s="14">
        <v>2031.331531774827</v>
      </c>
      <c r="I1389" s="14">
        <v>2678.6036165324804</v>
      </c>
      <c r="J1389" s="14">
        <v>3337.8331453898672</v>
      </c>
    </row>
    <row r="1390" spans="1:10" ht="15.75" x14ac:dyDescent="0.5">
      <c r="A1390" s="13" t="s">
        <v>316</v>
      </c>
      <c r="B1390" s="13" t="s">
        <v>416</v>
      </c>
      <c r="C1390" s="13" t="s">
        <v>400</v>
      </c>
      <c r="D1390" s="14" t="s">
        <v>250</v>
      </c>
      <c r="E1390" s="14">
        <v>70.934498682900681</v>
      </c>
      <c r="F1390" s="14">
        <v>100.19546122793699</v>
      </c>
      <c r="G1390" s="14">
        <v>127.69344447727374</v>
      </c>
      <c r="H1390" s="14">
        <v>145.88323771792338</v>
      </c>
      <c r="I1390" s="14">
        <v>165.77906731373224</v>
      </c>
      <c r="J1390" s="14">
        <v>186.28657305490808</v>
      </c>
    </row>
    <row r="1391" spans="1:10" ht="15.75" x14ac:dyDescent="0.5">
      <c r="A1391" s="13" t="s">
        <v>316</v>
      </c>
      <c r="B1391" s="13" t="s">
        <v>417</v>
      </c>
      <c r="C1391" s="13" t="s">
        <v>400</v>
      </c>
      <c r="D1391" s="14">
        <v>187.48709633408691</v>
      </c>
      <c r="E1391" s="14">
        <v>298.30786724466157</v>
      </c>
      <c r="F1391" s="14">
        <v>339.97349795460462</v>
      </c>
      <c r="G1391" s="14">
        <v>753.97392576512289</v>
      </c>
      <c r="H1391" s="14">
        <v>1559.2168377108685</v>
      </c>
      <c r="I1391" s="14">
        <v>2344.2754193880178</v>
      </c>
      <c r="J1391" s="14">
        <v>3132.2936762850745</v>
      </c>
    </row>
    <row r="1392" spans="1:10" ht="15.75" x14ac:dyDescent="0.5">
      <c r="A1392" s="13" t="s">
        <v>316</v>
      </c>
      <c r="B1392" s="13" t="s">
        <v>418</v>
      </c>
      <c r="C1392" s="13" t="s">
        <v>400</v>
      </c>
      <c r="D1392" s="14">
        <v>3.1841751731019534</v>
      </c>
      <c r="E1392" s="14">
        <v>3.1841751731019539</v>
      </c>
      <c r="F1392" s="14">
        <v>3.184175173101953</v>
      </c>
      <c r="G1392" s="14">
        <v>3.184175173101953</v>
      </c>
      <c r="H1392" s="14">
        <v>3.184175173101953</v>
      </c>
      <c r="I1392" s="14">
        <v>3.184175173101953</v>
      </c>
      <c r="J1392" s="14">
        <v>3.184175173101953</v>
      </c>
    </row>
    <row r="1393" spans="1:10" ht="15.75" x14ac:dyDescent="0.5">
      <c r="A1393" s="13" t="s">
        <v>316</v>
      </c>
      <c r="B1393" s="13" t="s">
        <v>419</v>
      </c>
      <c r="C1393" s="13" t="s">
        <v>400</v>
      </c>
      <c r="D1393" s="14">
        <v>0.54465920264079504</v>
      </c>
      <c r="E1393" s="14">
        <v>8.2527737306290341</v>
      </c>
      <c r="F1393" s="14">
        <v>27.985463908873509</v>
      </c>
      <c r="G1393" s="14">
        <v>115.85005600612084</v>
      </c>
      <c r="H1393" s="14">
        <v>437.51700321480388</v>
      </c>
      <c r="I1393" s="14">
        <v>1064.7953871799155</v>
      </c>
      <c r="J1393" s="14">
        <v>2010.972576073045</v>
      </c>
    </row>
    <row r="1394" spans="1:10" ht="15.75" x14ac:dyDescent="0.5">
      <c r="A1394" s="13" t="s">
        <v>316</v>
      </c>
      <c r="B1394" s="13" t="s">
        <v>420</v>
      </c>
      <c r="C1394" s="13" t="s">
        <v>400</v>
      </c>
      <c r="D1394" s="14">
        <v>-13.987252957808344</v>
      </c>
      <c r="E1394" s="14">
        <v>-13.713731541933594</v>
      </c>
      <c r="F1394" s="14">
        <v>-13.246661676354314</v>
      </c>
      <c r="G1394" s="14">
        <v>-12.395846440972971</v>
      </c>
      <c r="H1394" s="14">
        <v>-12.28792754593292</v>
      </c>
      <c r="I1394" s="14">
        <v>-14.544396038193369</v>
      </c>
      <c r="J1394" s="14">
        <v>-15.894437976804388</v>
      </c>
    </row>
    <row r="1395" spans="1:10" ht="15.75" x14ac:dyDescent="0.5">
      <c r="A1395" s="13" t="s">
        <v>317</v>
      </c>
      <c r="B1395" s="13" t="s">
        <v>399</v>
      </c>
      <c r="C1395" s="13" t="s">
        <v>400</v>
      </c>
      <c r="D1395" s="14">
        <v>7.2499064625597889</v>
      </c>
      <c r="E1395" s="14">
        <v>0.20898235810271487</v>
      </c>
      <c r="F1395" s="14">
        <v>0.51246000000000125</v>
      </c>
      <c r="G1395" s="14">
        <v>1.5066620348759396</v>
      </c>
      <c r="H1395" s="14">
        <v>1.5567969575484992</v>
      </c>
      <c r="I1395" s="14">
        <v>0.77353953284671695</v>
      </c>
      <c r="J1395" s="14">
        <v>0.1989754160583945</v>
      </c>
    </row>
    <row r="1396" spans="1:10" ht="15.75" x14ac:dyDescent="0.5">
      <c r="A1396" s="13" t="s">
        <v>317</v>
      </c>
      <c r="B1396" s="13" t="s">
        <v>401</v>
      </c>
      <c r="C1396" s="13" t="s">
        <v>400</v>
      </c>
      <c r="D1396" s="14" t="s">
        <v>250</v>
      </c>
      <c r="E1396" s="14" t="s">
        <v>250</v>
      </c>
      <c r="F1396" s="14">
        <v>151.69727633721234</v>
      </c>
      <c r="G1396" s="14">
        <v>151.6972763372124</v>
      </c>
      <c r="H1396" s="14">
        <v>39.565860595942915</v>
      </c>
      <c r="I1396" s="14">
        <v>34.130624927585885</v>
      </c>
      <c r="J1396" s="14" t="s">
        <v>250</v>
      </c>
    </row>
    <row r="1397" spans="1:10" ht="15.75" x14ac:dyDescent="0.5">
      <c r="A1397" s="13" t="s">
        <v>317</v>
      </c>
      <c r="B1397" s="13" t="s">
        <v>402</v>
      </c>
      <c r="C1397" s="13" t="s">
        <v>400</v>
      </c>
      <c r="D1397" s="14">
        <v>1072.9916742877472</v>
      </c>
      <c r="E1397" s="14">
        <v>401.75812364233752</v>
      </c>
      <c r="F1397" s="14">
        <v>149.84712702201165</v>
      </c>
      <c r="G1397" s="14">
        <v>95.050728318551137</v>
      </c>
      <c r="H1397" s="14">
        <v>68.149414526172336</v>
      </c>
      <c r="I1397" s="14">
        <v>50.572362983477497</v>
      </c>
      <c r="J1397" s="14" t="s">
        <v>250</v>
      </c>
    </row>
    <row r="1398" spans="1:10" ht="15.75" x14ac:dyDescent="0.5">
      <c r="A1398" s="13" t="s">
        <v>317</v>
      </c>
      <c r="B1398" s="13" t="s">
        <v>403</v>
      </c>
      <c r="C1398" s="13" t="s">
        <v>400</v>
      </c>
      <c r="D1398" s="14" t="s">
        <v>250</v>
      </c>
      <c r="E1398" s="14" t="s">
        <v>250</v>
      </c>
      <c r="F1398" s="14">
        <v>102.3962338751633</v>
      </c>
      <c r="G1398" s="14">
        <v>102.39623387516335</v>
      </c>
      <c r="H1398" s="14">
        <v>25.20417995737165</v>
      </c>
      <c r="I1398" s="14">
        <v>20.741802932838723</v>
      </c>
      <c r="J1398" s="14" t="s">
        <v>250</v>
      </c>
    </row>
    <row r="1399" spans="1:10" ht="15.75" x14ac:dyDescent="0.5">
      <c r="A1399" s="13" t="s">
        <v>317</v>
      </c>
      <c r="B1399" s="13" t="s">
        <v>404</v>
      </c>
      <c r="C1399" s="13" t="s">
        <v>400</v>
      </c>
      <c r="D1399" s="14" t="s">
        <v>250</v>
      </c>
      <c r="E1399" s="14" t="s">
        <v>250</v>
      </c>
      <c r="F1399" s="14" t="s">
        <v>250</v>
      </c>
      <c r="G1399" s="14" t="s">
        <v>250</v>
      </c>
      <c r="H1399" s="14" t="s">
        <v>250</v>
      </c>
      <c r="I1399" s="14">
        <v>0.33069896914528535</v>
      </c>
      <c r="J1399" s="14">
        <v>3.1002578801944569</v>
      </c>
    </row>
    <row r="1400" spans="1:10" ht="15.75" x14ac:dyDescent="0.5">
      <c r="A1400" s="13" t="s">
        <v>317</v>
      </c>
      <c r="B1400" s="13" t="s">
        <v>421</v>
      </c>
      <c r="C1400" s="13" t="s">
        <v>400</v>
      </c>
      <c r="D1400" s="14" t="s">
        <v>250</v>
      </c>
      <c r="E1400" s="14" t="s">
        <v>250</v>
      </c>
      <c r="F1400" s="14" t="s">
        <v>250</v>
      </c>
      <c r="G1400" s="14">
        <v>11.456935857124916</v>
      </c>
      <c r="H1400" s="14">
        <v>30.881367312643526</v>
      </c>
      <c r="I1400" s="14">
        <v>30.88136731264353</v>
      </c>
      <c r="J1400" s="14">
        <v>4.8760053651542412</v>
      </c>
    </row>
    <row r="1401" spans="1:10" ht="15.75" x14ac:dyDescent="0.5">
      <c r="A1401" s="13" t="s">
        <v>317</v>
      </c>
      <c r="B1401" s="13" t="s">
        <v>405</v>
      </c>
      <c r="C1401" s="13" t="s">
        <v>400</v>
      </c>
      <c r="D1401" s="14">
        <v>1259.3891290889942</v>
      </c>
      <c r="E1401" s="14">
        <v>1325.4987298582851</v>
      </c>
      <c r="F1401" s="14">
        <v>1353.9857693075842</v>
      </c>
      <c r="G1401" s="14">
        <v>1336.0496707585326</v>
      </c>
      <c r="H1401" s="14">
        <v>999.51460240376821</v>
      </c>
      <c r="I1401" s="14">
        <v>551.1689595069563</v>
      </c>
      <c r="J1401" s="14">
        <v>276.85367160971015</v>
      </c>
    </row>
    <row r="1402" spans="1:10" ht="15.75" x14ac:dyDescent="0.5">
      <c r="A1402" s="13" t="s">
        <v>317</v>
      </c>
      <c r="B1402" s="13" t="s">
        <v>406</v>
      </c>
      <c r="C1402" s="13" t="s">
        <v>400</v>
      </c>
      <c r="D1402" s="14">
        <v>23.479196814299328</v>
      </c>
      <c r="E1402" s="14">
        <v>21.507855804924588</v>
      </c>
      <c r="F1402" s="14">
        <v>43.547174198239738</v>
      </c>
      <c r="G1402" s="14">
        <v>47.243418739484483</v>
      </c>
      <c r="H1402" s="14">
        <v>47.033788528580523</v>
      </c>
      <c r="I1402" s="14">
        <v>44.967271815310809</v>
      </c>
      <c r="J1402" s="14">
        <v>40.01243573200049</v>
      </c>
    </row>
    <row r="1403" spans="1:10" ht="15.75" x14ac:dyDescent="0.5">
      <c r="A1403" s="13" t="s">
        <v>317</v>
      </c>
      <c r="B1403" s="13" t="s">
        <v>407</v>
      </c>
      <c r="C1403" s="13" t="s">
        <v>400</v>
      </c>
      <c r="D1403" s="14" t="s">
        <v>250</v>
      </c>
      <c r="E1403" s="14">
        <v>116.0586379628144</v>
      </c>
      <c r="F1403" s="14">
        <v>84.97767808840544</v>
      </c>
      <c r="G1403" s="14">
        <v>266.89310816485983</v>
      </c>
      <c r="H1403" s="14">
        <v>205.09581837795704</v>
      </c>
      <c r="I1403" s="14">
        <v>27.129405087881587</v>
      </c>
      <c r="J1403" s="14">
        <v>12.938402777777799</v>
      </c>
    </row>
    <row r="1404" spans="1:10" ht="15.75" x14ac:dyDescent="0.5">
      <c r="A1404" s="13" t="s">
        <v>317</v>
      </c>
      <c r="B1404" s="13" t="s">
        <v>408</v>
      </c>
      <c r="C1404" s="13" t="s">
        <v>400</v>
      </c>
      <c r="D1404" s="14">
        <v>46.892290321001227</v>
      </c>
      <c r="E1404" s="14">
        <v>34.974120316605585</v>
      </c>
      <c r="F1404" s="14">
        <v>31.775422365515954</v>
      </c>
      <c r="G1404" s="14">
        <v>46.454786554132902</v>
      </c>
      <c r="H1404" s="14">
        <v>45.502893915010269</v>
      </c>
      <c r="I1404" s="14">
        <v>38.572381155078823</v>
      </c>
      <c r="J1404" s="14">
        <v>33.749690642720552</v>
      </c>
    </row>
    <row r="1405" spans="1:10" ht="15.75" x14ac:dyDescent="0.5">
      <c r="A1405" s="13" t="s">
        <v>317</v>
      </c>
      <c r="B1405" s="13" t="s">
        <v>409</v>
      </c>
      <c r="C1405" s="13" t="s">
        <v>400</v>
      </c>
      <c r="D1405" s="14">
        <v>18.365704270000034</v>
      </c>
      <c r="E1405" s="14">
        <v>18.365704270000034</v>
      </c>
      <c r="F1405" s="14">
        <v>18.36570427000003</v>
      </c>
      <c r="G1405" s="14">
        <v>18.36570427000003</v>
      </c>
      <c r="H1405" s="14">
        <v>18.365704270000037</v>
      </c>
      <c r="I1405" s="14">
        <v>18.365704270000037</v>
      </c>
      <c r="J1405" s="14">
        <v>17.97093727658995</v>
      </c>
    </row>
    <row r="1406" spans="1:10" ht="15.75" x14ac:dyDescent="0.5">
      <c r="A1406" s="13" t="s">
        <v>317</v>
      </c>
      <c r="B1406" s="13" t="s">
        <v>410</v>
      </c>
      <c r="C1406" s="13" t="s">
        <v>400</v>
      </c>
      <c r="D1406" s="14">
        <v>245.79356253202218</v>
      </c>
      <c r="E1406" s="14">
        <v>244.63841624871401</v>
      </c>
      <c r="F1406" s="14">
        <v>246.12445039394581</v>
      </c>
      <c r="G1406" s="14">
        <v>246.10465039395012</v>
      </c>
      <c r="H1406" s="14">
        <v>246.16997594138257</v>
      </c>
      <c r="I1406" s="14">
        <v>246.16997594139704</v>
      </c>
      <c r="J1406" s="14">
        <v>246.16997594141475</v>
      </c>
    </row>
    <row r="1407" spans="1:10" ht="15.75" x14ac:dyDescent="0.5">
      <c r="A1407" s="13" t="s">
        <v>317</v>
      </c>
      <c r="B1407" s="13" t="s">
        <v>411</v>
      </c>
      <c r="C1407" s="13" t="s">
        <v>400</v>
      </c>
      <c r="D1407" s="14">
        <v>7.139400000000018</v>
      </c>
      <c r="E1407" s="14">
        <v>5.8304347306088733</v>
      </c>
      <c r="F1407" s="14" t="s">
        <v>250</v>
      </c>
      <c r="G1407" s="14" t="s">
        <v>250</v>
      </c>
      <c r="H1407" s="14" t="s">
        <v>250</v>
      </c>
      <c r="I1407" s="14" t="s">
        <v>250</v>
      </c>
      <c r="J1407" s="14" t="s">
        <v>250</v>
      </c>
    </row>
    <row r="1408" spans="1:10" ht="15.75" x14ac:dyDescent="0.5">
      <c r="A1408" s="13" t="s">
        <v>317</v>
      </c>
      <c r="B1408" s="13" t="s">
        <v>412</v>
      </c>
      <c r="C1408" s="13" t="s">
        <v>400</v>
      </c>
      <c r="D1408" s="14">
        <v>760.72545968400198</v>
      </c>
      <c r="E1408" s="14">
        <v>753.44245454693146</v>
      </c>
      <c r="F1408" s="14">
        <v>658.52260421051835</v>
      </c>
      <c r="G1408" s="14">
        <v>763.70273922937361</v>
      </c>
      <c r="H1408" s="14">
        <v>1470.798167331986</v>
      </c>
      <c r="I1408" s="14">
        <v>2535.5044213767906</v>
      </c>
      <c r="J1408" s="14">
        <v>2497.702048476242</v>
      </c>
    </row>
    <row r="1409" spans="1:10" ht="15.75" x14ac:dyDescent="0.5">
      <c r="A1409" s="13" t="s">
        <v>317</v>
      </c>
      <c r="B1409" s="13" t="s">
        <v>413</v>
      </c>
      <c r="C1409" s="13" t="s">
        <v>400</v>
      </c>
      <c r="D1409" s="14">
        <v>23.70292761988614</v>
      </c>
      <c r="E1409" s="14">
        <v>20.32733617710505</v>
      </c>
      <c r="F1409" s="14">
        <v>5.6838151769286638</v>
      </c>
      <c r="G1409" s="14">
        <v>1.9604259654788143</v>
      </c>
      <c r="H1409" s="14">
        <v>1.1996652331405557</v>
      </c>
      <c r="I1409" s="14">
        <v>0.3969073475891694</v>
      </c>
      <c r="J1409" s="14">
        <v>2.3073914701486394E-2</v>
      </c>
    </row>
    <row r="1410" spans="1:10" ht="15.75" x14ac:dyDescent="0.5">
      <c r="A1410" s="13" t="s">
        <v>317</v>
      </c>
      <c r="B1410" s="13" t="s">
        <v>414</v>
      </c>
      <c r="C1410" s="13" t="s">
        <v>400</v>
      </c>
      <c r="D1410" s="14">
        <v>0.6803907705109502</v>
      </c>
      <c r="E1410" s="14">
        <v>24.43034958652521</v>
      </c>
      <c r="F1410" s="14">
        <v>100.43726697479926</v>
      </c>
      <c r="G1410" s="14">
        <v>206.66626208679216</v>
      </c>
      <c r="H1410" s="14">
        <v>253.27992227763966</v>
      </c>
      <c r="I1410" s="14">
        <v>254.79958665062091</v>
      </c>
      <c r="J1410" s="14">
        <v>255.9762993852647</v>
      </c>
    </row>
    <row r="1411" spans="1:10" ht="15.75" x14ac:dyDescent="0.5">
      <c r="A1411" s="13" t="s">
        <v>317</v>
      </c>
      <c r="B1411" s="13" t="s">
        <v>415</v>
      </c>
      <c r="C1411" s="13" t="s">
        <v>400</v>
      </c>
      <c r="D1411" s="14">
        <v>440.53124483255561</v>
      </c>
      <c r="E1411" s="14">
        <v>873.81161464141201</v>
      </c>
      <c r="F1411" s="14">
        <v>1344.7165403737743</v>
      </c>
      <c r="G1411" s="14">
        <v>1543.8658191589029</v>
      </c>
      <c r="H1411" s="14">
        <v>1891.8757663465192</v>
      </c>
      <c r="I1411" s="14">
        <v>2019.1759683066243</v>
      </c>
      <c r="J1411" s="14">
        <v>2312.37898114566</v>
      </c>
    </row>
    <row r="1412" spans="1:10" ht="15.75" x14ac:dyDescent="0.5">
      <c r="A1412" s="13" t="s">
        <v>317</v>
      </c>
      <c r="B1412" s="13" t="s">
        <v>416</v>
      </c>
      <c r="C1412" s="13" t="s">
        <v>400</v>
      </c>
      <c r="D1412" s="14" t="s">
        <v>250</v>
      </c>
      <c r="E1412" s="14">
        <v>70.934498682900795</v>
      </c>
      <c r="F1412" s="14">
        <v>100.19546122793699</v>
      </c>
      <c r="G1412" s="14">
        <v>127.69344447727374</v>
      </c>
      <c r="H1412" s="14">
        <v>145.88323771792349</v>
      </c>
      <c r="I1412" s="14">
        <v>165.77906731373233</v>
      </c>
      <c r="J1412" s="14">
        <v>186.28657305490802</v>
      </c>
    </row>
    <row r="1413" spans="1:10" ht="15.75" x14ac:dyDescent="0.5">
      <c r="A1413" s="13" t="s">
        <v>317</v>
      </c>
      <c r="B1413" s="13" t="s">
        <v>417</v>
      </c>
      <c r="C1413" s="13" t="s">
        <v>400</v>
      </c>
      <c r="D1413" s="14">
        <v>187.48709633408691</v>
      </c>
      <c r="E1413" s="14">
        <v>298.36286233429831</v>
      </c>
      <c r="F1413" s="14">
        <v>339.95584428676801</v>
      </c>
      <c r="G1413" s="14">
        <v>795.31965498458555</v>
      </c>
      <c r="H1413" s="14">
        <v>1461.6518246354467</v>
      </c>
      <c r="I1413" s="14">
        <v>1817.4754679989892</v>
      </c>
      <c r="J1413" s="14">
        <v>2619.7797282403681</v>
      </c>
    </row>
    <row r="1414" spans="1:10" ht="15.75" x14ac:dyDescent="0.5">
      <c r="A1414" s="13" t="s">
        <v>317</v>
      </c>
      <c r="B1414" s="13" t="s">
        <v>418</v>
      </c>
      <c r="C1414" s="13" t="s">
        <v>400</v>
      </c>
      <c r="D1414" s="14">
        <v>3.1841751731019534</v>
      </c>
      <c r="E1414" s="14">
        <v>3.184175173101953</v>
      </c>
      <c r="F1414" s="14">
        <v>3.184175173101953</v>
      </c>
      <c r="G1414" s="14">
        <v>3.184175173101953</v>
      </c>
      <c r="H1414" s="14">
        <v>3.1841751731019534</v>
      </c>
      <c r="I1414" s="14">
        <v>3.1841751731019539</v>
      </c>
      <c r="J1414" s="14">
        <v>3.1841751731019534</v>
      </c>
    </row>
    <row r="1415" spans="1:10" ht="15.75" x14ac:dyDescent="0.5">
      <c r="A1415" s="13" t="s">
        <v>317</v>
      </c>
      <c r="B1415" s="13" t="s">
        <v>419</v>
      </c>
      <c r="C1415" s="13" t="s">
        <v>400</v>
      </c>
      <c r="D1415" s="14">
        <v>0.54465920264079504</v>
      </c>
      <c r="E1415" s="14">
        <v>8.2254357732506946</v>
      </c>
      <c r="F1415" s="14">
        <v>25.532653154018583</v>
      </c>
      <c r="G1415" s="14">
        <v>124.54569666347599</v>
      </c>
      <c r="H1415" s="14">
        <v>333.95902372234838</v>
      </c>
      <c r="I1415" s="14">
        <v>395.97010134191714</v>
      </c>
      <c r="J1415" s="14">
        <v>849.85389997145569</v>
      </c>
    </row>
    <row r="1416" spans="1:10" ht="15.75" x14ac:dyDescent="0.5">
      <c r="A1416" s="13" t="s">
        <v>317</v>
      </c>
      <c r="B1416" s="13" t="s">
        <v>420</v>
      </c>
      <c r="C1416" s="13" t="s">
        <v>400</v>
      </c>
      <c r="D1416" s="14">
        <v>-13.987252957808408</v>
      </c>
      <c r="E1416" s="14">
        <v>-14.066975326305389</v>
      </c>
      <c r="F1416" s="14">
        <v>-13.893526220022235</v>
      </c>
      <c r="G1416" s="14">
        <v>-12.365231891550492</v>
      </c>
      <c r="H1416" s="14">
        <v>-11.55621190211756</v>
      </c>
      <c r="I1416" s="14">
        <v>-17.663084232811933</v>
      </c>
      <c r="J1416" s="14">
        <v>-19.333534268967934</v>
      </c>
    </row>
    <row r="1417" spans="1:10" ht="15.75" x14ac:dyDescent="0.5">
      <c r="A1417" s="13" t="s">
        <v>318</v>
      </c>
      <c r="B1417" s="13" t="s">
        <v>399</v>
      </c>
      <c r="C1417" s="13" t="s">
        <v>400</v>
      </c>
      <c r="D1417" s="14">
        <v>7.2499064625597889</v>
      </c>
      <c r="E1417" s="14">
        <v>0.20898235810271726</v>
      </c>
      <c r="F1417" s="14">
        <v>0.51246000000000103</v>
      </c>
      <c r="G1417" s="14">
        <v>1.0563551824817539</v>
      </c>
      <c r="H1417" s="14">
        <v>1.0644640171019766</v>
      </c>
      <c r="I1417" s="14">
        <v>1.4994164638121883</v>
      </c>
      <c r="J1417" s="14">
        <v>2.6857088759124141</v>
      </c>
    </row>
    <row r="1418" spans="1:10" ht="15.75" x14ac:dyDescent="0.5">
      <c r="A1418" s="13" t="s">
        <v>318</v>
      </c>
      <c r="B1418" s="13" t="s">
        <v>401</v>
      </c>
      <c r="C1418" s="13" t="s">
        <v>400</v>
      </c>
      <c r="D1418" s="14" t="s">
        <v>250</v>
      </c>
      <c r="E1418" s="14" t="s">
        <v>250</v>
      </c>
      <c r="F1418" s="14">
        <v>132.25276758067002</v>
      </c>
      <c r="G1418" s="14">
        <v>132.25276758067005</v>
      </c>
      <c r="H1418" s="14">
        <v>35.464572709117135</v>
      </c>
      <c r="I1418" s="14">
        <v>28.129782483217081</v>
      </c>
      <c r="J1418" s="14" t="s">
        <v>250</v>
      </c>
    </row>
    <row r="1419" spans="1:10" ht="15.75" x14ac:dyDescent="0.5">
      <c r="A1419" s="13" t="s">
        <v>318</v>
      </c>
      <c r="B1419" s="13" t="s">
        <v>402</v>
      </c>
      <c r="C1419" s="13" t="s">
        <v>400</v>
      </c>
      <c r="D1419" s="14">
        <v>1072.9916742877463</v>
      </c>
      <c r="E1419" s="14">
        <v>400.17761354383026</v>
      </c>
      <c r="F1419" s="14">
        <v>171.81331958993783</v>
      </c>
      <c r="G1419" s="14">
        <v>155.96822715520275</v>
      </c>
      <c r="H1419" s="14">
        <v>143.45124443994831</v>
      </c>
      <c r="I1419" s="14">
        <v>37.912203251861257</v>
      </c>
      <c r="J1419" s="14" t="s">
        <v>250</v>
      </c>
    </row>
    <row r="1420" spans="1:10" ht="15.75" x14ac:dyDescent="0.5">
      <c r="A1420" s="13" t="s">
        <v>318</v>
      </c>
      <c r="B1420" s="13" t="s">
        <v>403</v>
      </c>
      <c r="C1420" s="13" t="s">
        <v>400</v>
      </c>
      <c r="D1420" s="14" t="s">
        <v>250</v>
      </c>
      <c r="E1420" s="14" t="s">
        <v>250</v>
      </c>
      <c r="F1420" s="14">
        <v>54.196755884018437</v>
      </c>
      <c r="G1420" s="14">
        <v>54.19675588401843</v>
      </c>
      <c r="H1420" s="14">
        <v>10.91735077268998</v>
      </c>
      <c r="I1420" s="14">
        <v>10.91735077268998</v>
      </c>
      <c r="J1420" s="14" t="s">
        <v>250</v>
      </c>
    </row>
    <row r="1421" spans="1:10" ht="15.75" x14ac:dyDescent="0.5">
      <c r="A1421" s="13" t="s">
        <v>318</v>
      </c>
      <c r="B1421" s="13" t="s">
        <v>404</v>
      </c>
      <c r="C1421" s="13" t="s">
        <v>400</v>
      </c>
      <c r="D1421" s="14" t="s">
        <v>250</v>
      </c>
      <c r="E1421" s="14" t="s">
        <v>250</v>
      </c>
      <c r="F1421" s="14" t="s">
        <v>250</v>
      </c>
      <c r="G1421" s="14" t="s">
        <v>250</v>
      </c>
      <c r="H1421" s="14" t="s">
        <v>250</v>
      </c>
      <c r="I1421" s="14">
        <v>0.33069896914528529</v>
      </c>
      <c r="J1421" s="14">
        <v>1.6170353155208348</v>
      </c>
    </row>
    <row r="1422" spans="1:10" ht="15.75" x14ac:dyDescent="0.5">
      <c r="A1422" s="13" t="s">
        <v>318</v>
      </c>
      <c r="B1422" s="13" t="s">
        <v>421</v>
      </c>
      <c r="C1422" s="13" t="s">
        <v>400</v>
      </c>
      <c r="D1422" s="14" t="s">
        <v>250</v>
      </c>
      <c r="E1422" s="14" t="s">
        <v>250</v>
      </c>
      <c r="F1422" s="14" t="s">
        <v>250</v>
      </c>
      <c r="G1422" s="14">
        <v>421.39085885115577</v>
      </c>
      <c r="H1422" s="14">
        <v>1131.594911138717</v>
      </c>
      <c r="I1422" s="14">
        <v>1107.2921044915772</v>
      </c>
      <c r="J1422" s="14">
        <v>523.09006561162187</v>
      </c>
    </row>
    <row r="1423" spans="1:10" ht="15.75" x14ac:dyDescent="0.5">
      <c r="A1423" s="13" t="s">
        <v>318</v>
      </c>
      <c r="B1423" s="13" t="s">
        <v>405</v>
      </c>
      <c r="C1423" s="13" t="s">
        <v>400</v>
      </c>
      <c r="D1423" s="14">
        <v>1259.389129088994</v>
      </c>
      <c r="E1423" s="14">
        <v>1331.4569042122337</v>
      </c>
      <c r="F1423" s="14">
        <v>1407.091753520373</v>
      </c>
      <c r="G1423" s="14">
        <v>1159.0299115651308</v>
      </c>
      <c r="H1423" s="14">
        <v>739.23808398381334</v>
      </c>
      <c r="I1423" s="14">
        <v>566.74328578262885</v>
      </c>
      <c r="J1423" s="14">
        <v>271.78993494814659</v>
      </c>
    </row>
    <row r="1424" spans="1:10" ht="15.75" x14ac:dyDescent="0.5">
      <c r="A1424" s="13" t="s">
        <v>318</v>
      </c>
      <c r="B1424" s="13" t="s">
        <v>406</v>
      </c>
      <c r="C1424" s="13" t="s">
        <v>400</v>
      </c>
      <c r="D1424" s="14">
        <v>23.479196814299335</v>
      </c>
      <c r="E1424" s="14">
        <v>21.014090052626152</v>
      </c>
      <c r="F1424" s="14">
        <v>43.276420465970602</v>
      </c>
      <c r="G1424" s="14">
        <v>45.084027904830791</v>
      </c>
      <c r="H1424" s="14">
        <v>44.237273046455151</v>
      </c>
      <c r="I1424" s="14">
        <v>41.742168296053556</v>
      </c>
      <c r="J1424" s="14">
        <v>35.802327029873453</v>
      </c>
    </row>
    <row r="1425" spans="1:10" ht="15.75" x14ac:dyDescent="0.5">
      <c r="A1425" s="13" t="s">
        <v>318</v>
      </c>
      <c r="B1425" s="13" t="s">
        <v>407</v>
      </c>
      <c r="C1425" s="13" t="s">
        <v>400</v>
      </c>
      <c r="D1425" s="14" t="s">
        <v>250</v>
      </c>
      <c r="E1425" s="14">
        <v>116.96586213934137</v>
      </c>
      <c r="F1425" s="14">
        <v>91.913593638217563</v>
      </c>
      <c r="G1425" s="14">
        <v>243.6733178854268</v>
      </c>
      <c r="H1425" s="14">
        <v>167.83239263763676</v>
      </c>
      <c r="I1425" s="14">
        <v>107.17184369680417</v>
      </c>
      <c r="J1425" s="14">
        <v>31.055905570898119</v>
      </c>
    </row>
    <row r="1426" spans="1:10" ht="15.75" x14ac:dyDescent="0.5">
      <c r="A1426" s="13" t="s">
        <v>318</v>
      </c>
      <c r="B1426" s="13" t="s">
        <v>408</v>
      </c>
      <c r="C1426" s="13" t="s">
        <v>400</v>
      </c>
      <c r="D1426" s="14">
        <v>46.892290321001227</v>
      </c>
      <c r="E1426" s="14">
        <v>35.170981733708075</v>
      </c>
      <c r="F1426" s="14">
        <v>31.757984146592481</v>
      </c>
      <c r="G1426" s="14">
        <v>46.122546569343157</v>
      </c>
      <c r="H1426" s="14">
        <v>44.351644328677558</v>
      </c>
      <c r="I1426" s="14">
        <v>42.531650986349078</v>
      </c>
      <c r="J1426" s="14">
        <v>41.304291547629269</v>
      </c>
    </row>
    <row r="1427" spans="1:10" ht="15.75" x14ac:dyDescent="0.5">
      <c r="A1427" s="13" t="s">
        <v>318</v>
      </c>
      <c r="B1427" s="13" t="s">
        <v>409</v>
      </c>
      <c r="C1427" s="13" t="s">
        <v>400</v>
      </c>
      <c r="D1427" s="14">
        <v>18.365704270000037</v>
      </c>
      <c r="E1427" s="14">
        <v>18.365704270000034</v>
      </c>
      <c r="F1427" s="14">
        <v>18.365704270000034</v>
      </c>
      <c r="G1427" s="14">
        <v>18.365704270000034</v>
      </c>
      <c r="H1427" s="14">
        <v>18.365704270000034</v>
      </c>
      <c r="I1427" s="14">
        <v>18.365704270000037</v>
      </c>
      <c r="J1427" s="14">
        <v>17.6699531923942</v>
      </c>
    </row>
    <row r="1428" spans="1:10" ht="15.75" x14ac:dyDescent="0.5">
      <c r="A1428" s="13" t="s">
        <v>318</v>
      </c>
      <c r="B1428" s="13" t="s">
        <v>410</v>
      </c>
      <c r="C1428" s="13" t="s">
        <v>400</v>
      </c>
      <c r="D1428" s="14">
        <v>245.79356253202212</v>
      </c>
      <c r="E1428" s="14">
        <v>244.62139680898582</v>
      </c>
      <c r="F1428" s="14">
        <v>246.10016084417813</v>
      </c>
      <c r="G1428" s="14">
        <v>246.16997594167131</v>
      </c>
      <c r="H1428" s="14">
        <v>246.16997594152053</v>
      </c>
      <c r="I1428" s="14">
        <v>246.16997594138209</v>
      </c>
      <c r="J1428" s="14">
        <v>246.16997593765453</v>
      </c>
    </row>
    <row r="1429" spans="1:10" ht="15.75" x14ac:dyDescent="0.5">
      <c r="A1429" s="13" t="s">
        <v>318</v>
      </c>
      <c r="B1429" s="13" t="s">
        <v>411</v>
      </c>
      <c r="C1429" s="13" t="s">
        <v>400</v>
      </c>
      <c r="D1429" s="14">
        <v>7.1394000000000171</v>
      </c>
      <c r="E1429" s="14">
        <v>5.8260569343065818</v>
      </c>
      <c r="F1429" s="14" t="s">
        <v>250</v>
      </c>
      <c r="G1429" s="14" t="s">
        <v>250</v>
      </c>
      <c r="H1429" s="14" t="s">
        <v>250</v>
      </c>
      <c r="I1429" s="14" t="s">
        <v>250</v>
      </c>
      <c r="J1429" s="14" t="s">
        <v>250</v>
      </c>
    </row>
    <row r="1430" spans="1:10" ht="15.75" x14ac:dyDescent="0.5">
      <c r="A1430" s="13" t="s">
        <v>318</v>
      </c>
      <c r="B1430" s="13" t="s">
        <v>412</v>
      </c>
      <c r="C1430" s="13" t="s">
        <v>400</v>
      </c>
      <c r="D1430" s="14">
        <v>760.72545968400163</v>
      </c>
      <c r="E1430" s="14">
        <v>748.39592975367088</v>
      </c>
      <c r="F1430" s="14">
        <v>641.41531389985653</v>
      </c>
      <c r="G1430" s="14">
        <v>709.48017407171778</v>
      </c>
      <c r="H1430" s="14">
        <v>721.82918419547445</v>
      </c>
      <c r="I1430" s="14">
        <v>720.31121133369038</v>
      </c>
      <c r="J1430" s="14">
        <v>694.66846859257248</v>
      </c>
    </row>
    <row r="1431" spans="1:10" ht="15.75" x14ac:dyDescent="0.5">
      <c r="A1431" s="13" t="s">
        <v>318</v>
      </c>
      <c r="B1431" s="13" t="s">
        <v>413</v>
      </c>
      <c r="C1431" s="13" t="s">
        <v>400</v>
      </c>
      <c r="D1431" s="14">
        <v>23.70292761988614</v>
      </c>
      <c r="E1431" s="14">
        <v>20.097213882327896</v>
      </c>
      <c r="F1431" s="14">
        <v>6.0858530996033346</v>
      </c>
      <c r="G1431" s="14">
        <v>1.8589779288571253</v>
      </c>
      <c r="H1431" s="14">
        <v>1.1749438337131901</v>
      </c>
      <c r="I1431" s="14">
        <v>0.26931220784916099</v>
      </c>
      <c r="J1431" s="14">
        <v>3.6319270072992738E-2</v>
      </c>
    </row>
    <row r="1432" spans="1:10" ht="15.75" x14ac:dyDescent="0.5">
      <c r="A1432" s="13" t="s">
        <v>318</v>
      </c>
      <c r="B1432" s="13" t="s">
        <v>414</v>
      </c>
      <c r="C1432" s="13" t="s">
        <v>400</v>
      </c>
      <c r="D1432" s="14">
        <v>0.68039077051095032</v>
      </c>
      <c r="E1432" s="14">
        <v>24.430349586525207</v>
      </c>
      <c r="F1432" s="14">
        <v>100.43954524136618</v>
      </c>
      <c r="G1432" s="14">
        <v>206.67478856578211</v>
      </c>
      <c r="H1432" s="14">
        <v>253.29238512162402</v>
      </c>
      <c r="I1432" s="14">
        <v>254.81213192082211</v>
      </c>
      <c r="J1432" s="14">
        <v>255.9889082414046</v>
      </c>
    </row>
    <row r="1433" spans="1:10" ht="15.75" x14ac:dyDescent="0.5">
      <c r="A1433" s="13" t="s">
        <v>318</v>
      </c>
      <c r="B1433" s="13" t="s">
        <v>415</v>
      </c>
      <c r="C1433" s="13" t="s">
        <v>400</v>
      </c>
      <c r="D1433" s="14">
        <v>440.5312448325555</v>
      </c>
      <c r="E1433" s="14">
        <v>873.81161464141201</v>
      </c>
      <c r="F1433" s="14">
        <v>1350.4906245225743</v>
      </c>
      <c r="G1433" s="14">
        <v>1461.4755421369018</v>
      </c>
      <c r="H1433" s="14">
        <v>1819.1858751070276</v>
      </c>
      <c r="I1433" s="14">
        <v>2439.4491224179183</v>
      </c>
      <c r="J1433" s="14">
        <v>3274.3943306938086</v>
      </c>
    </row>
    <row r="1434" spans="1:10" ht="15.75" x14ac:dyDescent="0.5">
      <c r="A1434" s="13" t="s">
        <v>318</v>
      </c>
      <c r="B1434" s="13" t="s">
        <v>416</v>
      </c>
      <c r="C1434" s="13" t="s">
        <v>400</v>
      </c>
      <c r="D1434" s="14" t="s">
        <v>250</v>
      </c>
      <c r="E1434" s="14">
        <v>70.934498682900752</v>
      </c>
      <c r="F1434" s="14">
        <v>100.19546122793706</v>
      </c>
      <c r="G1434" s="14">
        <v>127.69344447727376</v>
      </c>
      <c r="H1434" s="14">
        <v>145.88323771792346</v>
      </c>
      <c r="I1434" s="14">
        <v>165.77906731373233</v>
      </c>
      <c r="J1434" s="14">
        <v>186.28657305490813</v>
      </c>
    </row>
    <row r="1435" spans="1:10" ht="15.75" x14ac:dyDescent="0.5">
      <c r="A1435" s="13" t="s">
        <v>318</v>
      </c>
      <c r="B1435" s="13" t="s">
        <v>417</v>
      </c>
      <c r="C1435" s="13" t="s">
        <v>400</v>
      </c>
      <c r="D1435" s="14">
        <v>187.48709633408686</v>
      </c>
      <c r="E1435" s="14">
        <v>298.35709414435752</v>
      </c>
      <c r="F1435" s="14">
        <v>339.94935565504693</v>
      </c>
      <c r="G1435" s="14">
        <v>728.41060594567386</v>
      </c>
      <c r="H1435" s="14">
        <v>1432.919226011473</v>
      </c>
      <c r="I1435" s="14">
        <v>2132.6122454841952</v>
      </c>
      <c r="J1435" s="14">
        <v>3197.1618985122163</v>
      </c>
    </row>
    <row r="1436" spans="1:10" ht="15.75" x14ac:dyDescent="0.5">
      <c r="A1436" s="13" t="s">
        <v>318</v>
      </c>
      <c r="B1436" s="13" t="s">
        <v>418</v>
      </c>
      <c r="C1436" s="13" t="s">
        <v>400</v>
      </c>
      <c r="D1436" s="14">
        <v>3.184175173101953</v>
      </c>
      <c r="E1436" s="14">
        <v>3.1841751731019534</v>
      </c>
      <c r="F1436" s="14">
        <v>3.1841751731019539</v>
      </c>
      <c r="G1436" s="14">
        <v>3.184175173101953</v>
      </c>
      <c r="H1436" s="14">
        <v>3.184175173101953</v>
      </c>
      <c r="I1436" s="14">
        <v>3.184175173101953</v>
      </c>
      <c r="J1436" s="14">
        <v>3.184175173101953</v>
      </c>
    </row>
    <row r="1437" spans="1:10" ht="15.75" x14ac:dyDescent="0.5">
      <c r="A1437" s="13" t="s">
        <v>318</v>
      </c>
      <c r="B1437" s="13" t="s">
        <v>419</v>
      </c>
      <c r="C1437" s="13" t="s">
        <v>400</v>
      </c>
      <c r="D1437" s="14">
        <v>0.54465920264079504</v>
      </c>
      <c r="E1437" s="14">
        <v>8.2111115888758572</v>
      </c>
      <c r="F1437" s="14">
        <v>25.844175127930761</v>
      </c>
      <c r="G1437" s="14">
        <v>96.704741861416025</v>
      </c>
      <c r="H1437" s="14">
        <v>316.74289456961651</v>
      </c>
      <c r="I1437" s="14">
        <v>750.14676451342314</v>
      </c>
      <c r="J1437" s="14">
        <v>1996.8530350038218</v>
      </c>
    </row>
    <row r="1438" spans="1:10" ht="15.75" x14ac:dyDescent="0.5">
      <c r="A1438" s="13" t="s">
        <v>318</v>
      </c>
      <c r="B1438" s="13" t="s">
        <v>420</v>
      </c>
      <c r="C1438" s="13" t="s">
        <v>400</v>
      </c>
      <c r="D1438" s="14">
        <v>-13.987252957808359</v>
      </c>
      <c r="E1438" s="14">
        <v>-13.638391270079707</v>
      </c>
      <c r="F1438" s="14">
        <v>-13.130516208590315</v>
      </c>
      <c r="G1438" s="14">
        <v>-12.407532381049865</v>
      </c>
      <c r="H1438" s="14">
        <v>-12.07452028811014</v>
      </c>
      <c r="I1438" s="14">
        <v>-15.14428089767096</v>
      </c>
      <c r="J1438" s="14">
        <v>-15.543211814471782</v>
      </c>
    </row>
    <row r="1439" spans="1:10" ht="15.75" x14ac:dyDescent="0.5">
      <c r="A1439" s="13" t="s">
        <v>319</v>
      </c>
      <c r="B1439" s="13" t="s">
        <v>399</v>
      </c>
      <c r="C1439" s="13" t="s">
        <v>400</v>
      </c>
      <c r="D1439" s="14">
        <v>7.2499064625597889</v>
      </c>
      <c r="E1439" s="14">
        <v>0.20898235810271792</v>
      </c>
      <c r="F1439" s="14">
        <v>0.51246000000000114</v>
      </c>
      <c r="G1439" s="14">
        <v>1.0563551824817536</v>
      </c>
      <c r="H1439" s="14">
        <v>1.0519140770527273</v>
      </c>
      <c r="I1439" s="14">
        <v>1.4987482895559909</v>
      </c>
      <c r="J1439" s="14">
        <v>2.6164129927007358</v>
      </c>
    </row>
    <row r="1440" spans="1:10" ht="15.75" x14ac:dyDescent="0.5">
      <c r="A1440" s="13" t="s">
        <v>319</v>
      </c>
      <c r="B1440" s="13" t="s">
        <v>401</v>
      </c>
      <c r="C1440" s="13" t="s">
        <v>400</v>
      </c>
      <c r="D1440" s="14" t="s">
        <v>250</v>
      </c>
      <c r="E1440" s="14" t="s">
        <v>250</v>
      </c>
      <c r="F1440" s="14">
        <v>132.2409596981785</v>
      </c>
      <c r="G1440" s="14">
        <v>132.24095969817853</v>
      </c>
      <c r="H1440" s="14">
        <v>35.518847565673191</v>
      </c>
      <c r="I1440" s="14">
        <v>28.185139302863412</v>
      </c>
      <c r="J1440" s="14" t="s">
        <v>250</v>
      </c>
    </row>
    <row r="1441" spans="1:10" ht="15.75" x14ac:dyDescent="0.5">
      <c r="A1441" s="13" t="s">
        <v>319</v>
      </c>
      <c r="B1441" s="13" t="s">
        <v>402</v>
      </c>
      <c r="C1441" s="13" t="s">
        <v>400</v>
      </c>
      <c r="D1441" s="14">
        <v>1072.9916742877458</v>
      </c>
      <c r="E1441" s="14">
        <v>399.97408424136097</v>
      </c>
      <c r="F1441" s="14">
        <v>171.72715416459408</v>
      </c>
      <c r="G1441" s="14">
        <v>155.9788103963966</v>
      </c>
      <c r="H1441" s="14">
        <v>142.89969679493788</v>
      </c>
      <c r="I1441" s="14">
        <v>37.558860339321818</v>
      </c>
      <c r="J1441" s="14" t="s">
        <v>250</v>
      </c>
    </row>
    <row r="1442" spans="1:10" ht="15.75" x14ac:dyDescent="0.5">
      <c r="A1442" s="13" t="s">
        <v>319</v>
      </c>
      <c r="B1442" s="13" t="s">
        <v>403</v>
      </c>
      <c r="C1442" s="13" t="s">
        <v>400</v>
      </c>
      <c r="D1442" s="14" t="s">
        <v>250</v>
      </c>
      <c r="E1442" s="14" t="s">
        <v>250</v>
      </c>
      <c r="F1442" s="14">
        <v>55.555867668904433</v>
      </c>
      <c r="G1442" s="14">
        <v>55.55586766890444</v>
      </c>
      <c r="H1442" s="14">
        <v>11.189860330147052</v>
      </c>
      <c r="I1442" s="14">
        <v>11.189860330147054</v>
      </c>
      <c r="J1442" s="14" t="s">
        <v>250</v>
      </c>
    </row>
    <row r="1443" spans="1:10" ht="15.75" x14ac:dyDescent="0.5">
      <c r="A1443" s="13" t="s">
        <v>319</v>
      </c>
      <c r="B1443" s="13" t="s">
        <v>404</v>
      </c>
      <c r="C1443" s="13" t="s">
        <v>400</v>
      </c>
      <c r="D1443" s="14" t="s">
        <v>250</v>
      </c>
      <c r="E1443" s="14" t="s">
        <v>250</v>
      </c>
      <c r="F1443" s="14" t="s">
        <v>250</v>
      </c>
      <c r="G1443" s="14" t="s">
        <v>250</v>
      </c>
      <c r="H1443" s="14" t="s">
        <v>250</v>
      </c>
      <c r="I1443" s="14">
        <v>0.33069896914528535</v>
      </c>
      <c r="J1443" s="14">
        <v>1.6483580882263666</v>
      </c>
    </row>
    <row r="1444" spans="1:10" ht="15.75" x14ac:dyDescent="0.5">
      <c r="A1444" s="13" t="s">
        <v>319</v>
      </c>
      <c r="B1444" s="13" t="s">
        <v>421</v>
      </c>
      <c r="C1444" s="13" t="s">
        <v>400</v>
      </c>
      <c r="D1444" s="14" t="s">
        <v>250</v>
      </c>
      <c r="E1444" s="14" t="s">
        <v>250</v>
      </c>
      <c r="F1444" s="14" t="s">
        <v>250</v>
      </c>
      <c r="G1444" s="14">
        <v>423.44557499011995</v>
      </c>
      <c r="H1444" s="14">
        <v>1137.5131430148756</v>
      </c>
      <c r="I1444" s="14">
        <v>1114.7675944038021</v>
      </c>
      <c r="J1444" s="14">
        <v>456.7718154018782</v>
      </c>
    </row>
    <row r="1445" spans="1:10" ht="15.75" x14ac:dyDescent="0.5">
      <c r="A1445" s="13" t="s">
        <v>319</v>
      </c>
      <c r="B1445" s="13" t="s">
        <v>405</v>
      </c>
      <c r="C1445" s="13" t="s">
        <v>400</v>
      </c>
      <c r="D1445" s="14">
        <v>1259.3891290889944</v>
      </c>
      <c r="E1445" s="14">
        <v>1331.7385453527579</v>
      </c>
      <c r="F1445" s="14">
        <v>1406.123359608705</v>
      </c>
      <c r="G1445" s="14">
        <v>1158.529872938537</v>
      </c>
      <c r="H1445" s="14">
        <v>740.06528194637656</v>
      </c>
      <c r="I1445" s="14">
        <v>566.44085710227125</v>
      </c>
      <c r="J1445" s="14">
        <v>270.88570555581555</v>
      </c>
    </row>
    <row r="1446" spans="1:10" ht="15.75" x14ac:dyDescent="0.5">
      <c r="A1446" s="13" t="s">
        <v>319</v>
      </c>
      <c r="B1446" s="13" t="s">
        <v>406</v>
      </c>
      <c r="C1446" s="13" t="s">
        <v>400</v>
      </c>
      <c r="D1446" s="14">
        <v>23.479196814299335</v>
      </c>
      <c r="E1446" s="14">
        <v>21.000815521196369</v>
      </c>
      <c r="F1446" s="14">
        <v>43.325235975078826</v>
      </c>
      <c r="G1446" s="14">
        <v>45.329525407012696</v>
      </c>
      <c r="H1446" s="14">
        <v>44.709374777108522</v>
      </c>
      <c r="I1446" s="14">
        <v>42.456451731284936</v>
      </c>
      <c r="J1446" s="14">
        <v>35.853613262268425</v>
      </c>
    </row>
    <row r="1447" spans="1:10" ht="15.75" x14ac:dyDescent="0.5">
      <c r="A1447" s="13" t="s">
        <v>319</v>
      </c>
      <c r="B1447" s="13" t="s">
        <v>407</v>
      </c>
      <c r="C1447" s="13" t="s">
        <v>400</v>
      </c>
      <c r="D1447" s="14" t="s">
        <v>250</v>
      </c>
      <c r="E1447" s="14">
        <v>116.767109167044</v>
      </c>
      <c r="F1447" s="14">
        <v>91.205627159359508</v>
      </c>
      <c r="G1447" s="14">
        <v>240.86204432780431</v>
      </c>
      <c r="H1447" s="14">
        <v>165.78909836088454</v>
      </c>
      <c r="I1447" s="14">
        <v>109.52649814626463</v>
      </c>
      <c r="J1447" s="14">
        <v>18.984430839093545</v>
      </c>
    </row>
    <row r="1448" spans="1:10" ht="15.75" x14ac:dyDescent="0.5">
      <c r="A1448" s="13" t="s">
        <v>319</v>
      </c>
      <c r="B1448" s="13" t="s">
        <v>408</v>
      </c>
      <c r="C1448" s="13" t="s">
        <v>400</v>
      </c>
      <c r="D1448" s="14">
        <v>46.892290321001234</v>
      </c>
      <c r="E1448" s="14">
        <v>35.17099322024275</v>
      </c>
      <c r="F1448" s="14">
        <v>31.82544924870605</v>
      </c>
      <c r="G1448" s="14">
        <v>46.124165255474516</v>
      </c>
      <c r="H1448" s="14">
        <v>44.508371224232761</v>
      </c>
      <c r="I1448" s="14">
        <v>42.642453688226347</v>
      </c>
      <c r="J1448" s="14">
        <v>40.91379493003037</v>
      </c>
    </row>
    <row r="1449" spans="1:10" ht="15.75" x14ac:dyDescent="0.5">
      <c r="A1449" s="13" t="s">
        <v>319</v>
      </c>
      <c r="B1449" s="13" t="s">
        <v>409</v>
      </c>
      <c r="C1449" s="13" t="s">
        <v>400</v>
      </c>
      <c r="D1449" s="14">
        <v>18.365704270000034</v>
      </c>
      <c r="E1449" s="14">
        <v>18.36570427000003</v>
      </c>
      <c r="F1449" s="14">
        <v>18.36570427000003</v>
      </c>
      <c r="G1449" s="14">
        <v>18.365704270000037</v>
      </c>
      <c r="H1449" s="14">
        <v>18.36570427000003</v>
      </c>
      <c r="I1449" s="14">
        <v>18.365704270000041</v>
      </c>
      <c r="J1449" s="14">
        <v>17.669953192394196</v>
      </c>
    </row>
    <row r="1450" spans="1:10" ht="15.75" x14ac:dyDescent="0.5">
      <c r="A1450" s="13" t="s">
        <v>319</v>
      </c>
      <c r="B1450" s="13" t="s">
        <v>410</v>
      </c>
      <c r="C1450" s="13" t="s">
        <v>400</v>
      </c>
      <c r="D1450" s="14">
        <v>245.79356253202209</v>
      </c>
      <c r="E1450" s="14">
        <v>244.61603091685021</v>
      </c>
      <c r="F1450" s="14">
        <v>246.08341801436424</v>
      </c>
      <c r="G1450" s="14">
        <v>246.16997594144198</v>
      </c>
      <c r="H1450" s="14">
        <v>246.16997594192242</v>
      </c>
      <c r="I1450" s="14">
        <v>246.16997594140557</v>
      </c>
      <c r="J1450" s="14">
        <v>246.16997594227445</v>
      </c>
    </row>
    <row r="1451" spans="1:10" ht="15.75" x14ac:dyDescent="0.5">
      <c r="A1451" s="13" t="s">
        <v>319</v>
      </c>
      <c r="B1451" s="13" t="s">
        <v>411</v>
      </c>
      <c r="C1451" s="13" t="s">
        <v>400</v>
      </c>
      <c r="D1451" s="14">
        <v>7.1394000000000197</v>
      </c>
      <c r="E1451" s="14">
        <v>5.8260569343065836</v>
      </c>
      <c r="F1451" s="14" t="s">
        <v>250</v>
      </c>
      <c r="G1451" s="14" t="s">
        <v>250</v>
      </c>
      <c r="H1451" s="14" t="s">
        <v>250</v>
      </c>
      <c r="I1451" s="14" t="s">
        <v>250</v>
      </c>
      <c r="J1451" s="14" t="s">
        <v>250</v>
      </c>
    </row>
    <row r="1452" spans="1:10" ht="15.75" x14ac:dyDescent="0.5">
      <c r="A1452" s="13" t="s">
        <v>319</v>
      </c>
      <c r="B1452" s="13" t="s">
        <v>412</v>
      </c>
      <c r="C1452" s="13" t="s">
        <v>400</v>
      </c>
      <c r="D1452" s="14">
        <v>760.72545968400175</v>
      </c>
      <c r="E1452" s="14">
        <v>748.47096542849465</v>
      </c>
      <c r="F1452" s="14">
        <v>641.29945641431345</v>
      </c>
      <c r="G1452" s="14">
        <v>709.4599819933311</v>
      </c>
      <c r="H1452" s="14">
        <v>721.86288967806195</v>
      </c>
      <c r="I1452" s="14">
        <v>719.94850111246114</v>
      </c>
      <c r="J1452" s="14">
        <v>831.67269645348301</v>
      </c>
    </row>
    <row r="1453" spans="1:10" ht="15.75" x14ac:dyDescent="0.5">
      <c r="A1453" s="13" t="s">
        <v>319</v>
      </c>
      <c r="B1453" s="13" t="s">
        <v>413</v>
      </c>
      <c r="C1453" s="13" t="s">
        <v>400</v>
      </c>
      <c r="D1453" s="14">
        <v>23.702927619886136</v>
      </c>
      <c r="E1453" s="14">
        <v>20.122726089002342</v>
      </c>
      <c r="F1453" s="14">
        <v>6.0739047583650656</v>
      </c>
      <c r="G1453" s="14">
        <v>1.87888945222655</v>
      </c>
      <c r="H1453" s="14">
        <v>1.1630912140802074</v>
      </c>
      <c r="I1453" s="14">
        <v>0.19666478958749478</v>
      </c>
      <c r="J1453" s="14" t="s">
        <v>250</v>
      </c>
    </row>
    <row r="1454" spans="1:10" ht="15.75" x14ac:dyDescent="0.5">
      <c r="A1454" s="13" t="s">
        <v>319</v>
      </c>
      <c r="B1454" s="13" t="s">
        <v>414</v>
      </c>
      <c r="C1454" s="13" t="s">
        <v>400</v>
      </c>
      <c r="D1454" s="14">
        <v>0.68039077051095032</v>
      </c>
      <c r="E1454" s="14">
        <v>24.430349586525207</v>
      </c>
      <c r="F1454" s="14">
        <v>100.43954524136618</v>
      </c>
      <c r="G1454" s="14">
        <v>206.67478856578211</v>
      </c>
      <c r="H1454" s="14">
        <v>253.29238512162402</v>
      </c>
      <c r="I1454" s="14">
        <v>254.81213192082217</v>
      </c>
      <c r="J1454" s="14">
        <v>255.98890824140463</v>
      </c>
    </row>
    <row r="1455" spans="1:10" ht="15.75" x14ac:dyDescent="0.5">
      <c r="A1455" s="13" t="s">
        <v>319</v>
      </c>
      <c r="B1455" s="13" t="s">
        <v>415</v>
      </c>
      <c r="C1455" s="13" t="s">
        <v>400</v>
      </c>
      <c r="D1455" s="14">
        <v>440.53124483255561</v>
      </c>
      <c r="E1455" s="14">
        <v>873.81161464141201</v>
      </c>
      <c r="F1455" s="14">
        <v>1350.4543893181508</v>
      </c>
      <c r="G1455" s="14">
        <v>1461.7554216666638</v>
      </c>
      <c r="H1455" s="14">
        <v>1817.4364558698585</v>
      </c>
      <c r="I1455" s="14">
        <v>2439.5436240259505</v>
      </c>
      <c r="J1455" s="14">
        <v>3279.2455414305405</v>
      </c>
    </row>
    <row r="1456" spans="1:10" ht="15.75" x14ac:dyDescent="0.5">
      <c r="A1456" s="13" t="s">
        <v>319</v>
      </c>
      <c r="B1456" s="13" t="s">
        <v>416</v>
      </c>
      <c r="C1456" s="13" t="s">
        <v>400</v>
      </c>
      <c r="D1456" s="14" t="s">
        <v>250</v>
      </c>
      <c r="E1456" s="14">
        <v>70.934498682900724</v>
      </c>
      <c r="F1456" s="14">
        <v>100.19546122793696</v>
      </c>
      <c r="G1456" s="14">
        <v>127.6934444772737</v>
      </c>
      <c r="H1456" s="14">
        <v>145.88323771792349</v>
      </c>
      <c r="I1456" s="14">
        <v>165.77906731373233</v>
      </c>
      <c r="J1456" s="14">
        <v>186.28657305490802</v>
      </c>
    </row>
    <row r="1457" spans="1:10" ht="15.75" x14ac:dyDescent="0.5">
      <c r="A1457" s="13" t="s">
        <v>319</v>
      </c>
      <c r="B1457" s="13" t="s">
        <v>417</v>
      </c>
      <c r="C1457" s="13" t="s">
        <v>400</v>
      </c>
      <c r="D1457" s="14">
        <v>187.48709633408689</v>
      </c>
      <c r="E1457" s="14">
        <v>298.36286233429854</v>
      </c>
      <c r="F1457" s="14">
        <v>339.94935565504693</v>
      </c>
      <c r="G1457" s="14">
        <v>727.96881270414985</v>
      </c>
      <c r="H1457" s="14">
        <v>1429.2647323884025</v>
      </c>
      <c r="I1457" s="14">
        <v>2121.7072339605961</v>
      </c>
      <c r="J1457" s="14">
        <v>3105.5104292835176</v>
      </c>
    </row>
    <row r="1458" spans="1:10" ht="15.75" x14ac:dyDescent="0.5">
      <c r="A1458" s="13" t="s">
        <v>319</v>
      </c>
      <c r="B1458" s="13" t="s">
        <v>418</v>
      </c>
      <c r="C1458" s="13" t="s">
        <v>400</v>
      </c>
      <c r="D1458" s="14">
        <v>3.184175173101953</v>
      </c>
      <c r="E1458" s="14">
        <v>3.184175173101953</v>
      </c>
      <c r="F1458" s="14">
        <v>3.1841751731019534</v>
      </c>
      <c r="G1458" s="14">
        <v>3.184175173101953</v>
      </c>
      <c r="H1458" s="14">
        <v>3.184175173101953</v>
      </c>
      <c r="I1458" s="14">
        <v>3.1841751731019534</v>
      </c>
      <c r="J1458" s="14">
        <v>3.1841751731019539</v>
      </c>
    </row>
    <row r="1459" spans="1:10" ht="15.75" x14ac:dyDescent="0.5">
      <c r="A1459" s="13" t="s">
        <v>319</v>
      </c>
      <c r="B1459" s="13" t="s">
        <v>419</v>
      </c>
      <c r="C1459" s="13" t="s">
        <v>400</v>
      </c>
      <c r="D1459" s="14">
        <v>0.54465920264079504</v>
      </c>
      <c r="E1459" s="14">
        <v>8.2217488585790264</v>
      </c>
      <c r="F1459" s="14">
        <v>26.075433401495186</v>
      </c>
      <c r="G1459" s="14">
        <v>95.954133191514785</v>
      </c>
      <c r="H1459" s="14">
        <v>314.60215803137737</v>
      </c>
      <c r="I1459" s="14">
        <v>743.39941385905911</v>
      </c>
      <c r="J1459" s="14">
        <v>1892.028451602976</v>
      </c>
    </row>
    <row r="1460" spans="1:10" ht="15.75" x14ac:dyDescent="0.5">
      <c r="A1460" s="13" t="s">
        <v>319</v>
      </c>
      <c r="B1460" s="13" t="s">
        <v>420</v>
      </c>
      <c r="C1460" s="13" t="s">
        <v>400</v>
      </c>
      <c r="D1460" s="14">
        <v>-13.987252957808376</v>
      </c>
      <c r="E1460" s="14">
        <v>-13.641166419662932</v>
      </c>
      <c r="F1460" s="14">
        <v>-13.124781716228187</v>
      </c>
      <c r="G1460" s="14">
        <v>-12.36828611601921</v>
      </c>
      <c r="H1460" s="14">
        <v>-12.044246120495078</v>
      </c>
      <c r="I1460" s="14">
        <v>-15.170005520652651</v>
      </c>
      <c r="J1460" s="14">
        <v>-15.179997672977789</v>
      </c>
    </row>
    <row r="1461" spans="1:10" ht="15.75" x14ac:dyDescent="0.5">
      <c r="A1461" s="13" t="s">
        <v>320</v>
      </c>
      <c r="B1461" s="13" t="s">
        <v>399</v>
      </c>
      <c r="C1461" s="13" t="s">
        <v>400</v>
      </c>
      <c r="D1461" s="14">
        <v>7.2499064625597889</v>
      </c>
      <c r="E1461" s="14">
        <v>0.20898235810272964</v>
      </c>
      <c r="F1461" s="14">
        <v>0.51246000000000103</v>
      </c>
      <c r="G1461" s="14">
        <v>1.3989524394657376</v>
      </c>
      <c r="H1461" s="14">
        <v>1.3176223800497662</v>
      </c>
      <c r="I1461" s="14">
        <v>0.80893094890511108</v>
      </c>
      <c r="J1461" s="14">
        <v>0.40635293430657005</v>
      </c>
    </row>
    <row r="1462" spans="1:10" ht="15.75" x14ac:dyDescent="0.5">
      <c r="A1462" s="13" t="s">
        <v>320</v>
      </c>
      <c r="B1462" s="13" t="s">
        <v>401</v>
      </c>
      <c r="C1462" s="13" t="s">
        <v>400</v>
      </c>
      <c r="D1462" s="14" t="s">
        <v>250</v>
      </c>
      <c r="E1462" s="14" t="s">
        <v>250</v>
      </c>
      <c r="F1462" s="14">
        <v>133.06038959809715</v>
      </c>
      <c r="G1462" s="14">
        <v>133.06038959809709</v>
      </c>
      <c r="H1462" s="14">
        <v>35.89450859001505</v>
      </c>
      <c r="I1462" s="14">
        <v>31.049506730825208</v>
      </c>
      <c r="J1462" s="14" t="s">
        <v>250</v>
      </c>
    </row>
    <row r="1463" spans="1:10" ht="15.75" x14ac:dyDescent="0.5">
      <c r="A1463" s="13" t="s">
        <v>320</v>
      </c>
      <c r="B1463" s="13" t="s">
        <v>402</v>
      </c>
      <c r="C1463" s="13" t="s">
        <v>400</v>
      </c>
      <c r="D1463" s="14">
        <v>1072.9916742877467</v>
      </c>
      <c r="E1463" s="14">
        <v>400.83782024482412</v>
      </c>
      <c r="F1463" s="14">
        <v>161.97602423116558</v>
      </c>
      <c r="G1463" s="14">
        <v>124.00388194166928</v>
      </c>
      <c r="H1463" s="14">
        <v>106.0152601502953</v>
      </c>
      <c r="I1463" s="14">
        <v>54.849497400956665</v>
      </c>
      <c r="J1463" s="14" t="s">
        <v>250</v>
      </c>
    </row>
    <row r="1464" spans="1:10" ht="15.75" x14ac:dyDescent="0.5">
      <c r="A1464" s="13" t="s">
        <v>320</v>
      </c>
      <c r="B1464" s="13" t="s">
        <v>403</v>
      </c>
      <c r="C1464" s="13" t="s">
        <v>400</v>
      </c>
      <c r="D1464" s="14" t="s">
        <v>250</v>
      </c>
      <c r="E1464" s="14" t="s">
        <v>250</v>
      </c>
      <c r="F1464" s="14">
        <v>72.050654892261448</v>
      </c>
      <c r="G1464" s="14">
        <v>72.050654892261434</v>
      </c>
      <c r="H1464" s="14">
        <v>14.515719999227576</v>
      </c>
      <c r="I1464" s="14">
        <v>14.515719999227576</v>
      </c>
      <c r="J1464" s="14" t="s">
        <v>250</v>
      </c>
    </row>
    <row r="1465" spans="1:10" ht="15.75" x14ac:dyDescent="0.5">
      <c r="A1465" s="13" t="s">
        <v>320</v>
      </c>
      <c r="B1465" s="13" t="s">
        <v>404</v>
      </c>
      <c r="C1465" s="13" t="s">
        <v>400</v>
      </c>
      <c r="D1465" s="14" t="s">
        <v>250</v>
      </c>
      <c r="E1465" s="14" t="s">
        <v>250</v>
      </c>
      <c r="F1465" s="14" t="s">
        <v>250</v>
      </c>
      <c r="G1465" s="14" t="s">
        <v>250</v>
      </c>
      <c r="H1465" s="14" t="s">
        <v>250</v>
      </c>
      <c r="I1465" s="14">
        <v>0.3306989691452854</v>
      </c>
      <c r="J1465" s="14">
        <v>3.0150192513190062</v>
      </c>
    </row>
    <row r="1466" spans="1:10" ht="15.75" x14ac:dyDescent="0.5">
      <c r="A1466" s="13" t="s">
        <v>320</v>
      </c>
      <c r="B1466" s="13" t="s">
        <v>421</v>
      </c>
      <c r="C1466" s="13" t="s">
        <v>400</v>
      </c>
      <c r="D1466" s="14" t="s">
        <v>250</v>
      </c>
      <c r="E1466" s="14" t="s">
        <v>250</v>
      </c>
      <c r="F1466" s="14" t="s">
        <v>250</v>
      </c>
      <c r="G1466" s="14">
        <v>272.70382461121181</v>
      </c>
      <c r="H1466" s="14">
        <v>735.13047997177648</v>
      </c>
      <c r="I1466" s="14">
        <v>705.1792846716736</v>
      </c>
      <c r="J1466" s="14">
        <v>116.08069868863078</v>
      </c>
    </row>
    <row r="1467" spans="1:10" ht="15.75" x14ac:dyDescent="0.5">
      <c r="A1467" s="13" t="s">
        <v>320</v>
      </c>
      <c r="B1467" s="13" t="s">
        <v>405</v>
      </c>
      <c r="C1467" s="13" t="s">
        <v>400</v>
      </c>
      <c r="D1467" s="14">
        <v>1259.3891290889944</v>
      </c>
      <c r="E1467" s="14">
        <v>1331.3840608001801</v>
      </c>
      <c r="F1467" s="14">
        <v>1394.4519163101677</v>
      </c>
      <c r="G1467" s="14">
        <v>1253.2662689248123</v>
      </c>
      <c r="H1467" s="14">
        <v>853.45055046717005</v>
      </c>
      <c r="I1467" s="14">
        <v>510.00737952929785</v>
      </c>
      <c r="J1467" s="14">
        <v>267.68705349300029</v>
      </c>
    </row>
    <row r="1468" spans="1:10" ht="15.75" x14ac:dyDescent="0.5">
      <c r="A1468" s="13" t="s">
        <v>320</v>
      </c>
      <c r="B1468" s="13" t="s">
        <v>406</v>
      </c>
      <c r="C1468" s="13" t="s">
        <v>400</v>
      </c>
      <c r="D1468" s="14">
        <v>23.479196814299328</v>
      </c>
      <c r="E1468" s="14">
        <v>21.228437687104439</v>
      </c>
      <c r="F1468" s="14">
        <v>43.755514543009461</v>
      </c>
      <c r="G1468" s="14">
        <v>47.785416746692256</v>
      </c>
      <c r="H1468" s="14">
        <v>51.285334678659488</v>
      </c>
      <c r="I1468" s="14">
        <v>49.096590835872405</v>
      </c>
      <c r="J1468" s="14">
        <v>43.557198410620174</v>
      </c>
    </row>
    <row r="1469" spans="1:10" ht="15.75" x14ac:dyDescent="0.5">
      <c r="A1469" s="13" t="s">
        <v>320</v>
      </c>
      <c r="B1469" s="13" t="s">
        <v>407</v>
      </c>
      <c r="C1469" s="13" t="s">
        <v>400</v>
      </c>
      <c r="D1469" s="14" t="s">
        <v>250</v>
      </c>
      <c r="E1469" s="14">
        <v>111.1577286709086</v>
      </c>
      <c r="F1469" s="14">
        <v>77.904151247767587</v>
      </c>
      <c r="G1469" s="14">
        <v>245.78151148485694</v>
      </c>
      <c r="H1469" s="14">
        <v>147.86160266719764</v>
      </c>
      <c r="I1469" s="14">
        <v>27.879986579289636</v>
      </c>
      <c r="J1469" s="14">
        <v>12.938402777777799</v>
      </c>
    </row>
    <row r="1470" spans="1:10" ht="15.75" x14ac:dyDescent="0.5">
      <c r="A1470" s="13" t="s">
        <v>320</v>
      </c>
      <c r="B1470" s="13" t="s">
        <v>408</v>
      </c>
      <c r="C1470" s="13" t="s">
        <v>400</v>
      </c>
      <c r="D1470" s="14">
        <v>46.892290321001212</v>
      </c>
      <c r="E1470" s="14">
        <v>35.13794857224466</v>
      </c>
      <c r="F1470" s="14">
        <v>31.69672992723255</v>
      </c>
      <c r="G1470" s="14">
        <v>46.182671093859106</v>
      </c>
      <c r="H1470" s="14">
        <v>43.921746927672636</v>
      </c>
      <c r="I1470" s="14">
        <v>38.230602473881184</v>
      </c>
      <c r="J1470" s="14">
        <v>35.232624883044615</v>
      </c>
    </row>
    <row r="1471" spans="1:10" ht="15.75" x14ac:dyDescent="0.5">
      <c r="A1471" s="13" t="s">
        <v>320</v>
      </c>
      <c r="B1471" s="13" t="s">
        <v>409</v>
      </c>
      <c r="C1471" s="13" t="s">
        <v>400</v>
      </c>
      <c r="D1471" s="14">
        <v>18.365704270000037</v>
      </c>
      <c r="E1471" s="14">
        <v>18.36570427000003</v>
      </c>
      <c r="F1471" s="14">
        <v>18.36570427000003</v>
      </c>
      <c r="G1471" s="14">
        <v>18.365704270000034</v>
      </c>
      <c r="H1471" s="14">
        <v>18.365704270000037</v>
      </c>
      <c r="I1471" s="14">
        <v>18.365704270000037</v>
      </c>
      <c r="J1471" s="14">
        <v>18.145774039109526</v>
      </c>
    </row>
    <row r="1472" spans="1:10" ht="15.75" x14ac:dyDescent="0.5">
      <c r="A1472" s="13" t="s">
        <v>320</v>
      </c>
      <c r="B1472" s="13" t="s">
        <v>410</v>
      </c>
      <c r="C1472" s="13" t="s">
        <v>400</v>
      </c>
      <c r="D1472" s="14">
        <v>245.79356253202218</v>
      </c>
      <c r="E1472" s="14">
        <v>244.64047767097674</v>
      </c>
      <c r="F1472" s="14">
        <v>246.12445039394584</v>
      </c>
      <c r="G1472" s="14">
        <v>246.12445039378466</v>
      </c>
      <c r="H1472" s="14">
        <v>246.16997594138931</v>
      </c>
      <c r="I1472" s="14">
        <v>246.16997594150763</v>
      </c>
      <c r="J1472" s="14">
        <v>246.16997594139104</v>
      </c>
    </row>
    <row r="1473" spans="1:10" ht="15.75" x14ac:dyDescent="0.5">
      <c r="A1473" s="13" t="s">
        <v>320</v>
      </c>
      <c r="B1473" s="13" t="s">
        <v>411</v>
      </c>
      <c r="C1473" s="13" t="s">
        <v>400</v>
      </c>
      <c r="D1473" s="14">
        <v>7.1394000000000171</v>
      </c>
      <c r="E1473" s="14">
        <v>5.8260569343065836</v>
      </c>
      <c r="F1473" s="14" t="s">
        <v>250</v>
      </c>
      <c r="G1473" s="14" t="s">
        <v>250</v>
      </c>
      <c r="H1473" s="14" t="s">
        <v>250</v>
      </c>
      <c r="I1473" s="14" t="s">
        <v>250</v>
      </c>
      <c r="J1473" s="14" t="s">
        <v>250</v>
      </c>
    </row>
    <row r="1474" spans="1:10" ht="15.75" x14ac:dyDescent="0.5">
      <c r="A1474" s="13" t="s">
        <v>320</v>
      </c>
      <c r="B1474" s="13" t="s">
        <v>412</v>
      </c>
      <c r="C1474" s="13" t="s">
        <v>400</v>
      </c>
      <c r="D1474" s="14">
        <v>760.72545968400163</v>
      </c>
      <c r="E1474" s="14">
        <v>753.41990318073954</v>
      </c>
      <c r="F1474" s="14">
        <v>660.13527921710465</v>
      </c>
      <c r="G1474" s="14">
        <v>727.12089049663643</v>
      </c>
      <c r="H1474" s="14">
        <v>1209.4405385565478</v>
      </c>
      <c r="I1474" s="14">
        <v>2043.9699406129903</v>
      </c>
      <c r="J1474" s="14">
        <v>2225.6816750620587</v>
      </c>
    </row>
    <row r="1475" spans="1:10" ht="15.75" x14ac:dyDescent="0.5">
      <c r="A1475" s="13" t="s">
        <v>320</v>
      </c>
      <c r="B1475" s="13" t="s">
        <v>413</v>
      </c>
      <c r="C1475" s="13" t="s">
        <v>400</v>
      </c>
      <c r="D1475" s="14">
        <v>23.702927619886136</v>
      </c>
      <c r="E1475" s="14">
        <v>20.058275282552611</v>
      </c>
      <c r="F1475" s="14">
        <v>5.8971123292047061</v>
      </c>
      <c r="G1475" s="14">
        <v>1.9373631417629973</v>
      </c>
      <c r="H1475" s="14">
        <v>1.2257031878468634</v>
      </c>
      <c r="I1475" s="14">
        <v>0.24799138686131422</v>
      </c>
      <c r="J1475" s="14">
        <v>5.9597080291970833E-3</v>
      </c>
    </row>
    <row r="1476" spans="1:10" ht="15.75" x14ac:dyDescent="0.5">
      <c r="A1476" s="13" t="s">
        <v>320</v>
      </c>
      <c r="B1476" s="13" t="s">
        <v>414</v>
      </c>
      <c r="C1476" s="13" t="s">
        <v>400</v>
      </c>
      <c r="D1476" s="14">
        <v>0.6803907705109502</v>
      </c>
      <c r="E1476" s="14">
        <v>24.430349541099527</v>
      </c>
      <c r="F1476" s="14">
        <v>100.46075059415311</v>
      </c>
      <c r="G1476" s="14">
        <v>206.7308916685472</v>
      </c>
      <c r="H1476" s="14">
        <v>253.34513099959344</v>
      </c>
      <c r="I1476" s="14">
        <v>254.86522664719089</v>
      </c>
      <c r="J1476" s="14">
        <v>256.04227207939567</v>
      </c>
    </row>
    <row r="1477" spans="1:10" ht="15.75" x14ac:dyDescent="0.5">
      <c r="A1477" s="13" t="s">
        <v>320</v>
      </c>
      <c r="B1477" s="13" t="s">
        <v>415</v>
      </c>
      <c r="C1477" s="13" t="s">
        <v>400</v>
      </c>
      <c r="D1477" s="14">
        <v>440.53124483255556</v>
      </c>
      <c r="E1477" s="14">
        <v>873.81161464141178</v>
      </c>
      <c r="F1477" s="14">
        <v>1345.430275026165</v>
      </c>
      <c r="G1477" s="14">
        <v>1473.6176191842912</v>
      </c>
      <c r="H1477" s="14">
        <v>1722.5726845208683</v>
      </c>
      <c r="I1477" s="14">
        <v>1936.6127468763273</v>
      </c>
      <c r="J1477" s="14">
        <v>2527.7441274658504</v>
      </c>
    </row>
    <row r="1478" spans="1:10" ht="15.75" x14ac:dyDescent="0.5">
      <c r="A1478" s="13" t="s">
        <v>320</v>
      </c>
      <c r="B1478" s="13" t="s">
        <v>416</v>
      </c>
      <c r="C1478" s="13" t="s">
        <v>400</v>
      </c>
      <c r="D1478" s="14" t="s">
        <v>250</v>
      </c>
      <c r="E1478" s="14">
        <v>70.934498682900724</v>
      </c>
      <c r="F1478" s="14">
        <v>100.19546122793703</v>
      </c>
      <c r="G1478" s="14">
        <v>127.69344447727367</v>
      </c>
      <c r="H1478" s="14">
        <v>145.88323771792341</v>
      </c>
      <c r="I1478" s="14">
        <v>165.77906731373221</v>
      </c>
      <c r="J1478" s="14">
        <v>186.28657305490796</v>
      </c>
    </row>
    <row r="1479" spans="1:10" ht="15.75" x14ac:dyDescent="0.5">
      <c r="A1479" s="13" t="s">
        <v>320</v>
      </c>
      <c r="B1479" s="13" t="s">
        <v>417</v>
      </c>
      <c r="C1479" s="13" t="s">
        <v>400</v>
      </c>
      <c r="D1479" s="14">
        <v>187.48709633408691</v>
      </c>
      <c r="E1479" s="14">
        <v>298.36286233429837</v>
      </c>
      <c r="F1479" s="14">
        <v>340.10182101300956</v>
      </c>
      <c r="G1479" s="14">
        <v>762.45822866075252</v>
      </c>
      <c r="H1479" s="14">
        <v>1350.5091880473344</v>
      </c>
      <c r="I1479" s="14">
        <v>1753.2474558171439</v>
      </c>
      <c r="J1479" s="14">
        <v>2575.2645536867244</v>
      </c>
    </row>
    <row r="1480" spans="1:10" ht="15.75" x14ac:dyDescent="0.5">
      <c r="A1480" s="13" t="s">
        <v>320</v>
      </c>
      <c r="B1480" s="13" t="s">
        <v>418</v>
      </c>
      <c r="C1480" s="13" t="s">
        <v>400</v>
      </c>
      <c r="D1480" s="14">
        <v>3.184175173101953</v>
      </c>
      <c r="E1480" s="14">
        <v>3.1841751731019525</v>
      </c>
      <c r="F1480" s="14">
        <v>3.184175173101953</v>
      </c>
      <c r="G1480" s="14">
        <v>3.1841751731019539</v>
      </c>
      <c r="H1480" s="14">
        <v>3.184175173101953</v>
      </c>
      <c r="I1480" s="14">
        <v>3.184175173101953</v>
      </c>
      <c r="J1480" s="14">
        <v>3.184175173101953</v>
      </c>
    </row>
    <row r="1481" spans="1:10" ht="15.75" x14ac:dyDescent="0.5">
      <c r="A1481" s="13" t="s">
        <v>320</v>
      </c>
      <c r="B1481" s="13" t="s">
        <v>419</v>
      </c>
      <c r="C1481" s="13" t="s">
        <v>400</v>
      </c>
      <c r="D1481" s="14">
        <v>0.54465920264079493</v>
      </c>
      <c r="E1481" s="14">
        <v>8.298026118314354</v>
      </c>
      <c r="F1481" s="14">
        <v>25.979913010243241</v>
      </c>
      <c r="G1481" s="14">
        <v>97.126207377770356</v>
      </c>
      <c r="H1481" s="14">
        <v>241.22536862663688</v>
      </c>
      <c r="I1481" s="14">
        <v>359.0580665879487</v>
      </c>
      <c r="J1481" s="14">
        <v>867.1883125021568</v>
      </c>
    </row>
    <row r="1482" spans="1:10" ht="15.75" x14ac:dyDescent="0.5">
      <c r="A1482" s="13" t="s">
        <v>320</v>
      </c>
      <c r="B1482" s="13" t="s">
        <v>420</v>
      </c>
      <c r="C1482" s="13" t="s">
        <v>400</v>
      </c>
      <c r="D1482" s="14">
        <v>-13.987252957808419</v>
      </c>
      <c r="E1482" s="14">
        <v>-13.724847573298764</v>
      </c>
      <c r="F1482" s="14">
        <v>-13.718918437152048</v>
      </c>
      <c r="G1482" s="14">
        <v>-12.316056490654116</v>
      </c>
      <c r="H1482" s="14">
        <v>-11.640102248082517</v>
      </c>
      <c r="I1482" s="14">
        <v>-16.913365156715955</v>
      </c>
      <c r="J1482" s="14">
        <v>-19.566786783586309</v>
      </c>
    </row>
    <row r="1483" spans="1:10" ht="15.75" x14ac:dyDescent="0.5">
      <c r="A1483" s="13" t="s">
        <v>321</v>
      </c>
      <c r="B1483" s="13" t="s">
        <v>399</v>
      </c>
      <c r="C1483" s="13" t="s">
        <v>400</v>
      </c>
      <c r="D1483" s="14">
        <v>7.249906462559788</v>
      </c>
      <c r="E1483" s="14">
        <v>0.20898235810272614</v>
      </c>
      <c r="F1483" s="14">
        <v>0.51246000000000114</v>
      </c>
      <c r="G1483" s="14">
        <v>0.79619877372262926</v>
      </c>
      <c r="H1483" s="14">
        <v>0.69543494890511082</v>
      </c>
      <c r="I1483" s="14">
        <v>0.92439665641091284</v>
      </c>
      <c r="J1483" s="14">
        <v>2.7460939973390626</v>
      </c>
    </row>
    <row r="1484" spans="1:10" ht="15.75" x14ac:dyDescent="0.5">
      <c r="A1484" s="13" t="s">
        <v>321</v>
      </c>
      <c r="B1484" s="13" t="s">
        <v>401</v>
      </c>
      <c r="C1484" s="13" t="s">
        <v>400</v>
      </c>
      <c r="D1484" s="14" t="s">
        <v>250</v>
      </c>
      <c r="E1484" s="14" t="s">
        <v>250</v>
      </c>
      <c r="F1484" s="14">
        <v>107.06216804261906</v>
      </c>
      <c r="G1484" s="14">
        <v>107.06216804261908</v>
      </c>
      <c r="H1484" s="14">
        <v>27.226526980387323</v>
      </c>
      <c r="I1484" s="14">
        <v>23.146430994438081</v>
      </c>
      <c r="J1484" s="14" t="s">
        <v>250</v>
      </c>
    </row>
    <row r="1485" spans="1:10" ht="15.75" x14ac:dyDescent="0.5">
      <c r="A1485" s="13" t="s">
        <v>321</v>
      </c>
      <c r="B1485" s="13" t="s">
        <v>402</v>
      </c>
      <c r="C1485" s="13" t="s">
        <v>400</v>
      </c>
      <c r="D1485" s="14">
        <v>1072.9916742877463</v>
      </c>
      <c r="E1485" s="14">
        <v>400.49679881419178</v>
      </c>
      <c r="F1485" s="14">
        <v>190.61397343227327</v>
      </c>
      <c r="G1485" s="14">
        <v>203.37781078719954</v>
      </c>
      <c r="H1485" s="14">
        <v>202.40487781257301</v>
      </c>
      <c r="I1485" s="14">
        <v>55.893314507688586</v>
      </c>
      <c r="J1485" s="14">
        <v>1.5242400000000026E-2</v>
      </c>
    </row>
    <row r="1486" spans="1:10" ht="15.75" x14ac:dyDescent="0.5">
      <c r="A1486" s="13" t="s">
        <v>321</v>
      </c>
      <c r="B1486" s="13" t="s">
        <v>403</v>
      </c>
      <c r="C1486" s="13" t="s">
        <v>400</v>
      </c>
      <c r="D1486" s="14" t="s">
        <v>250</v>
      </c>
      <c r="E1486" s="14" t="s">
        <v>250</v>
      </c>
      <c r="F1486" s="14">
        <v>37.045581536382187</v>
      </c>
      <c r="G1486" s="14">
        <v>37.045581536382187</v>
      </c>
      <c r="H1486" s="14">
        <v>7.4702902977198642</v>
      </c>
      <c r="I1486" s="14">
        <v>7.4702902977198669</v>
      </c>
      <c r="J1486" s="14" t="s">
        <v>250</v>
      </c>
    </row>
    <row r="1487" spans="1:10" ht="15.75" x14ac:dyDescent="0.5">
      <c r="A1487" s="13" t="s">
        <v>321</v>
      </c>
      <c r="B1487" s="13" t="s">
        <v>404</v>
      </c>
      <c r="C1487" s="13" t="s">
        <v>400</v>
      </c>
      <c r="D1487" s="14" t="s">
        <v>250</v>
      </c>
      <c r="E1487" s="14" t="s">
        <v>250</v>
      </c>
      <c r="F1487" s="14" t="s">
        <v>250</v>
      </c>
      <c r="G1487" s="14" t="s">
        <v>250</v>
      </c>
      <c r="H1487" s="14" t="s">
        <v>250</v>
      </c>
      <c r="I1487" s="14">
        <v>0.33069896914528529</v>
      </c>
      <c r="J1487" s="14" t="s">
        <v>250</v>
      </c>
    </row>
    <row r="1488" spans="1:10" ht="15.75" x14ac:dyDescent="0.5">
      <c r="A1488" s="13" t="s">
        <v>321</v>
      </c>
      <c r="B1488" s="13" t="s">
        <v>421</v>
      </c>
      <c r="C1488" s="13" t="s">
        <v>400</v>
      </c>
      <c r="D1488" s="14" t="s">
        <v>250</v>
      </c>
      <c r="E1488" s="14" t="s">
        <v>250</v>
      </c>
      <c r="F1488" s="14" t="s">
        <v>250</v>
      </c>
      <c r="G1488" s="14">
        <v>672.70386016072462</v>
      </c>
      <c r="H1488" s="14">
        <v>1787.6618040152573</v>
      </c>
      <c r="I1488" s="14">
        <v>1733.3414332899115</v>
      </c>
      <c r="J1488" s="14">
        <v>714.87898913712456</v>
      </c>
    </row>
    <row r="1489" spans="1:10" ht="15.75" x14ac:dyDescent="0.5">
      <c r="A1489" s="13" t="s">
        <v>321</v>
      </c>
      <c r="B1489" s="13" t="s">
        <v>405</v>
      </c>
      <c r="C1489" s="13" t="s">
        <v>400</v>
      </c>
      <c r="D1489" s="14">
        <v>1259.3891290889947</v>
      </c>
      <c r="E1489" s="14">
        <v>1332.0543524686145</v>
      </c>
      <c r="F1489" s="14">
        <v>1405.3809102195423</v>
      </c>
      <c r="G1489" s="14">
        <v>1027.1697555908747</v>
      </c>
      <c r="H1489" s="14">
        <v>522.3462290636802</v>
      </c>
      <c r="I1489" s="14">
        <v>490.67414648945851</v>
      </c>
      <c r="J1489" s="14">
        <v>259.41456670288943</v>
      </c>
    </row>
    <row r="1490" spans="1:10" ht="15.75" x14ac:dyDescent="0.5">
      <c r="A1490" s="13" t="s">
        <v>321</v>
      </c>
      <c r="B1490" s="13" t="s">
        <v>406</v>
      </c>
      <c r="C1490" s="13" t="s">
        <v>400</v>
      </c>
      <c r="D1490" s="14">
        <v>23.479196814299335</v>
      </c>
      <c r="E1490" s="14">
        <v>21.782234039764774</v>
      </c>
      <c r="F1490" s="14">
        <v>43.938589559231275</v>
      </c>
      <c r="G1490" s="14">
        <v>45.950453973394296</v>
      </c>
      <c r="H1490" s="14">
        <v>45.861679376886052</v>
      </c>
      <c r="I1490" s="14">
        <v>43.222930639441209</v>
      </c>
      <c r="J1490" s="14">
        <v>38.730568115346991</v>
      </c>
    </row>
    <row r="1491" spans="1:10" ht="15.75" x14ac:dyDescent="0.5">
      <c r="A1491" s="13" t="s">
        <v>321</v>
      </c>
      <c r="B1491" s="13" t="s">
        <v>407</v>
      </c>
      <c r="C1491" s="13" t="s">
        <v>400</v>
      </c>
      <c r="D1491" s="14" t="s">
        <v>250</v>
      </c>
      <c r="E1491" s="14">
        <v>114.89977817465585</v>
      </c>
      <c r="F1491" s="14">
        <v>111.70106583420548</v>
      </c>
      <c r="G1491" s="14">
        <v>212.04896326089008</v>
      </c>
      <c r="H1491" s="14">
        <v>110.70384639804865</v>
      </c>
      <c r="I1491" s="14">
        <v>62.318298323832714</v>
      </c>
      <c r="J1491" s="14">
        <v>17.405435755862641</v>
      </c>
    </row>
    <row r="1492" spans="1:10" ht="15.75" x14ac:dyDescent="0.5">
      <c r="A1492" s="13" t="s">
        <v>321</v>
      </c>
      <c r="B1492" s="13" t="s">
        <v>408</v>
      </c>
      <c r="C1492" s="13" t="s">
        <v>400</v>
      </c>
      <c r="D1492" s="14">
        <v>46.892290321001219</v>
      </c>
      <c r="E1492" s="14">
        <v>35.213087324343533</v>
      </c>
      <c r="F1492" s="14">
        <v>32.134015208906114</v>
      </c>
      <c r="G1492" s="14">
        <v>45.677233051094987</v>
      </c>
      <c r="H1492" s="14">
        <v>42.681799158499516</v>
      </c>
      <c r="I1492" s="14">
        <v>40.9113969905492</v>
      </c>
      <c r="J1492" s="14">
        <v>42.776393562818463</v>
      </c>
    </row>
    <row r="1493" spans="1:10" ht="15.75" x14ac:dyDescent="0.5">
      <c r="A1493" s="13" t="s">
        <v>321</v>
      </c>
      <c r="B1493" s="13" t="s">
        <v>409</v>
      </c>
      <c r="C1493" s="13" t="s">
        <v>400</v>
      </c>
      <c r="D1493" s="14">
        <v>18.365704270000034</v>
      </c>
      <c r="E1493" s="14">
        <v>18.365704270000034</v>
      </c>
      <c r="F1493" s="14">
        <v>18.365704270000023</v>
      </c>
      <c r="G1493" s="14">
        <v>18.365704270000034</v>
      </c>
      <c r="H1493" s="14">
        <v>18.36570427000003</v>
      </c>
      <c r="I1493" s="14">
        <v>18.365704270000037</v>
      </c>
      <c r="J1493" s="14">
        <v>17.6699531923942</v>
      </c>
    </row>
    <row r="1494" spans="1:10" ht="15.75" x14ac:dyDescent="0.5">
      <c r="A1494" s="13" t="s">
        <v>321</v>
      </c>
      <c r="B1494" s="13" t="s">
        <v>410</v>
      </c>
      <c r="C1494" s="13" t="s">
        <v>400</v>
      </c>
      <c r="D1494" s="14">
        <v>245.79356253202212</v>
      </c>
      <c r="E1494" s="14">
        <v>244.63602531037043</v>
      </c>
      <c r="F1494" s="14">
        <v>246.12445039394581</v>
      </c>
      <c r="G1494" s="14">
        <v>246.16997594138587</v>
      </c>
      <c r="H1494" s="14">
        <v>246.1699759413975</v>
      </c>
      <c r="I1494" s="14">
        <v>246.16997594139019</v>
      </c>
      <c r="J1494" s="14">
        <v>246.16997594139107</v>
      </c>
    </row>
    <row r="1495" spans="1:10" ht="15.75" x14ac:dyDescent="0.5">
      <c r="A1495" s="13" t="s">
        <v>321</v>
      </c>
      <c r="B1495" s="13" t="s">
        <v>411</v>
      </c>
      <c r="C1495" s="13" t="s">
        <v>400</v>
      </c>
      <c r="D1495" s="14">
        <v>7.1394000000000162</v>
      </c>
      <c r="E1495" s="14">
        <v>5.8260569343065818</v>
      </c>
      <c r="F1495" s="14" t="s">
        <v>250</v>
      </c>
      <c r="G1495" s="14" t="s">
        <v>250</v>
      </c>
      <c r="H1495" s="14" t="s">
        <v>250</v>
      </c>
      <c r="I1495" s="14" t="s">
        <v>250</v>
      </c>
      <c r="J1495" s="14" t="s">
        <v>250</v>
      </c>
    </row>
    <row r="1496" spans="1:10" ht="15.75" x14ac:dyDescent="0.5">
      <c r="A1496" s="13" t="s">
        <v>321</v>
      </c>
      <c r="B1496" s="13" t="s">
        <v>412</v>
      </c>
      <c r="C1496" s="13" t="s">
        <v>400</v>
      </c>
      <c r="D1496" s="14">
        <v>760.72545968400163</v>
      </c>
      <c r="E1496" s="14">
        <v>748.24949474574566</v>
      </c>
      <c r="F1496" s="14">
        <v>637.67565588352022</v>
      </c>
      <c r="G1496" s="14">
        <v>704.32757597944817</v>
      </c>
      <c r="H1496" s="14">
        <v>717.10248492998824</v>
      </c>
      <c r="I1496" s="14">
        <v>717.10248492998835</v>
      </c>
      <c r="J1496" s="14">
        <v>692.85626097817897</v>
      </c>
    </row>
    <row r="1497" spans="1:10" ht="15.75" x14ac:dyDescent="0.5">
      <c r="A1497" s="13" t="s">
        <v>321</v>
      </c>
      <c r="B1497" s="13" t="s">
        <v>413</v>
      </c>
      <c r="C1497" s="13" t="s">
        <v>400</v>
      </c>
      <c r="D1497" s="14">
        <v>23.702927619886136</v>
      </c>
      <c r="E1497" s="14">
        <v>20.591345383443922</v>
      </c>
      <c r="F1497" s="14">
        <v>6.7118636670707765</v>
      </c>
      <c r="G1497" s="14">
        <v>2.5000900992552046</v>
      </c>
      <c r="H1497" s="14">
        <v>0.81225257210937052</v>
      </c>
      <c r="I1497" s="14">
        <v>0.26715047437755679</v>
      </c>
      <c r="J1497" s="14">
        <v>7.6602481751824852E-2</v>
      </c>
    </row>
    <row r="1498" spans="1:10" ht="15.75" x14ac:dyDescent="0.5">
      <c r="A1498" s="13" t="s">
        <v>321</v>
      </c>
      <c r="B1498" s="13" t="s">
        <v>414</v>
      </c>
      <c r="C1498" s="13" t="s">
        <v>400</v>
      </c>
      <c r="D1498" s="14">
        <v>0.6803907705109502</v>
      </c>
      <c r="E1498" s="14">
        <v>24.413059816714217</v>
      </c>
      <c r="F1498" s="14">
        <v>100.39552847605681</v>
      </c>
      <c r="G1498" s="14">
        <v>206.68432859972765</v>
      </c>
      <c r="H1498" s="14">
        <v>253.29815068306479</v>
      </c>
      <c r="I1498" s="14">
        <v>254.81793561428302</v>
      </c>
      <c r="J1498" s="14">
        <v>255.99474135099527</v>
      </c>
    </row>
    <row r="1499" spans="1:10" ht="15.75" x14ac:dyDescent="0.5">
      <c r="A1499" s="13" t="s">
        <v>321</v>
      </c>
      <c r="B1499" s="13" t="s">
        <v>415</v>
      </c>
      <c r="C1499" s="13" t="s">
        <v>400</v>
      </c>
      <c r="D1499" s="14">
        <v>440.53124483255561</v>
      </c>
      <c r="E1499" s="14">
        <v>873.81161464141223</v>
      </c>
      <c r="F1499" s="14">
        <v>1350.4391622775597</v>
      </c>
      <c r="G1499" s="14">
        <v>1428.3634003891052</v>
      </c>
      <c r="H1499" s="14">
        <v>1595.6466751510839</v>
      </c>
      <c r="I1499" s="14">
        <v>2024.1309943571121</v>
      </c>
      <c r="J1499" s="14">
        <v>3196.9794679317233</v>
      </c>
    </row>
    <row r="1500" spans="1:10" ht="15.75" x14ac:dyDescent="0.5">
      <c r="A1500" s="13" t="s">
        <v>321</v>
      </c>
      <c r="B1500" s="13" t="s">
        <v>416</v>
      </c>
      <c r="C1500" s="13" t="s">
        <v>400</v>
      </c>
      <c r="D1500" s="14" t="s">
        <v>250</v>
      </c>
      <c r="E1500" s="14">
        <v>70.934498682900738</v>
      </c>
      <c r="F1500" s="14">
        <v>100.195461227937</v>
      </c>
      <c r="G1500" s="14">
        <v>127.69344447727374</v>
      </c>
      <c r="H1500" s="14">
        <v>145.88323771792341</v>
      </c>
      <c r="I1500" s="14">
        <v>165.77906731373216</v>
      </c>
      <c r="J1500" s="14">
        <v>186.28657305490799</v>
      </c>
    </row>
    <row r="1501" spans="1:10" ht="15.75" x14ac:dyDescent="0.5">
      <c r="A1501" s="13" t="s">
        <v>321</v>
      </c>
      <c r="B1501" s="13" t="s">
        <v>417</v>
      </c>
      <c r="C1501" s="13" t="s">
        <v>400</v>
      </c>
      <c r="D1501" s="14">
        <v>187.48709633408697</v>
      </c>
      <c r="E1501" s="14">
        <v>298.36286233429854</v>
      </c>
      <c r="F1501" s="14">
        <v>339.94935565504676</v>
      </c>
      <c r="G1501" s="14">
        <v>676.16908958669183</v>
      </c>
      <c r="H1501" s="14">
        <v>1222.9535622782341</v>
      </c>
      <c r="I1501" s="14">
        <v>2002.0296490404437</v>
      </c>
      <c r="J1501" s="14">
        <v>3041.5238051722804</v>
      </c>
    </row>
    <row r="1502" spans="1:10" ht="15.75" x14ac:dyDescent="0.5">
      <c r="A1502" s="13" t="s">
        <v>321</v>
      </c>
      <c r="B1502" s="13" t="s">
        <v>418</v>
      </c>
      <c r="C1502" s="13" t="s">
        <v>400</v>
      </c>
      <c r="D1502" s="14">
        <v>3.184175173101953</v>
      </c>
      <c r="E1502" s="14">
        <v>3.1841751731019534</v>
      </c>
      <c r="F1502" s="14">
        <v>3.1841751731019534</v>
      </c>
      <c r="G1502" s="14">
        <v>3.1841751731019539</v>
      </c>
      <c r="H1502" s="14">
        <v>3.1841751731019534</v>
      </c>
      <c r="I1502" s="14">
        <v>3.1841751731019534</v>
      </c>
      <c r="J1502" s="14">
        <v>3.184175173101953</v>
      </c>
    </row>
    <row r="1503" spans="1:10" ht="15.75" x14ac:dyDescent="0.5">
      <c r="A1503" s="13" t="s">
        <v>321</v>
      </c>
      <c r="B1503" s="13" t="s">
        <v>419</v>
      </c>
      <c r="C1503" s="13" t="s">
        <v>400</v>
      </c>
      <c r="D1503" s="14">
        <v>0.54465920264079504</v>
      </c>
      <c r="E1503" s="14">
        <v>8.347102602529052</v>
      </c>
      <c r="F1503" s="14">
        <v>30.012379842411523</v>
      </c>
      <c r="G1503" s="14">
        <v>78.335147518926917</v>
      </c>
      <c r="H1503" s="14">
        <v>207.77373553927143</v>
      </c>
      <c r="I1503" s="14">
        <v>542.45530915421546</v>
      </c>
      <c r="J1503" s="14">
        <v>1711.4360618237931</v>
      </c>
    </row>
    <row r="1504" spans="1:10" ht="15.75" x14ac:dyDescent="0.5">
      <c r="A1504" s="13" t="s">
        <v>321</v>
      </c>
      <c r="B1504" s="13" t="s">
        <v>420</v>
      </c>
      <c r="C1504" s="13" t="s">
        <v>400</v>
      </c>
      <c r="D1504" s="14">
        <v>-13.987252957808366</v>
      </c>
      <c r="E1504" s="14">
        <v>-13.731821911005909</v>
      </c>
      <c r="F1504" s="14">
        <v>-13.183368448686895</v>
      </c>
      <c r="G1504" s="14">
        <v>-12.210905797825957</v>
      </c>
      <c r="H1504" s="14">
        <v>-14.914020682904603</v>
      </c>
      <c r="I1504" s="14">
        <v>-16.51670248140892</v>
      </c>
      <c r="J1504" s="14">
        <v>-14.148261911008769</v>
      </c>
    </row>
    <row r="1505" spans="1:10" ht="15.75" x14ac:dyDescent="0.5">
      <c r="A1505" s="13" t="s">
        <v>322</v>
      </c>
      <c r="B1505" s="13" t="s">
        <v>399</v>
      </c>
      <c r="C1505" s="13" t="s">
        <v>400</v>
      </c>
      <c r="D1505" s="14">
        <v>7.2499064625597889</v>
      </c>
      <c r="E1505" s="14">
        <v>0.20898235810272237</v>
      </c>
      <c r="F1505" s="14">
        <v>0.51246000000000114</v>
      </c>
      <c r="G1505" s="14">
        <v>0.79619877372262926</v>
      </c>
      <c r="H1505" s="14">
        <v>0.69543494890511082</v>
      </c>
      <c r="I1505" s="14">
        <v>0.92271491030992148</v>
      </c>
      <c r="J1505" s="14">
        <v>2.8614367007299331</v>
      </c>
    </row>
    <row r="1506" spans="1:10" ht="15.75" x14ac:dyDescent="0.5">
      <c r="A1506" s="13" t="s">
        <v>322</v>
      </c>
      <c r="B1506" s="13" t="s">
        <v>401</v>
      </c>
      <c r="C1506" s="13" t="s">
        <v>400</v>
      </c>
      <c r="D1506" s="14" t="s">
        <v>250</v>
      </c>
      <c r="E1506" s="14" t="s">
        <v>250</v>
      </c>
      <c r="F1506" s="14">
        <v>107.49692216989293</v>
      </c>
      <c r="G1506" s="14">
        <v>107.49692216989291</v>
      </c>
      <c r="H1506" s="14">
        <v>27.350056694780658</v>
      </c>
      <c r="I1506" s="14">
        <v>23.436297140994146</v>
      </c>
      <c r="J1506" s="14" t="s">
        <v>250</v>
      </c>
    </row>
    <row r="1507" spans="1:10" ht="15.75" x14ac:dyDescent="0.5">
      <c r="A1507" s="13" t="s">
        <v>322</v>
      </c>
      <c r="B1507" s="13" t="s">
        <v>402</v>
      </c>
      <c r="C1507" s="13" t="s">
        <v>400</v>
      </c>
      <c r="D1507" s="14">
        <v>1072.9916742877467</v>
      </c>
      <c r="E1507" s="14">
        <v>400.38473889839065</v>
      </c>
      <c r="F1507" s="14">
        <v>189.89043680989772</v>
      </c>
      <c r="G1507" s="14">
        <v>202.61145424978719</v>
      </c>
      <c r="H1507" s="14">
        <v>201.57959671223921</v>
      </c>
      <c r="I1507" s="14">
        <v>55.757001246215225</v>
      </c>
      <c r="J1507" s="14">
        <v>1.5242400000000026E-2</v>
      </c>
    </row>
    <row r="1508" spans="1:10" ht="15.75" x14ac:dyDescent="0.5">
      <c r="A1508" s="13" t="s">
        <v>322</v>
      </c>
      <c r="B1508" s="13" t="s">
        <v>403</v>
      </c>
      <c r="C1508" s="13" t="s">
        <v>400</v>
      </c>
      <c r="D1508" s="14" t="s">
        <v>250</v>
      </c>
      <c r="E1508" s="14" t="s">
        <v>250</v>
      </c>
      <c r="F1508" s="14">
        <v>35.574201217858793</v>
      </c>
      <c r="G1508" s="14">
        <v>35.574201217858793</v>
      </c>
      <c r="H1508" s="14">
        <v>7.1752273996202529</v>
      </c>
      <c r="I1508" s="14">
        <v>7.1752273996202529</v>
      </c>
      <c r="J1508" s="14" t="s">
        <v>250</v>
      </c>
    </row>
    <row r="1509" spans="1:10" ht="15.75" x14ac:dyDescent="0.5">
      <c r="A1509" s="13" t="s">
        <v>322</v>
      </c>
      <c r="B1509" s="13" t="s">
        <v>404</v>
      </c>
      <c r="C1509" s="13" t="s">
        <v>400</v>
      </c>
      <c r="D1509" s="14" t="s">
        <v>250</v>
      </c>
      <c r="E1509" s="14" t="s">
        <v>250</v>
      </c>
      <c r="F1509" s="14" t="s">
        <v>250</v>
      </c>
      <c r="G1509" s="14" t="s">
        <v>250</v>
      </c>
      <c r="H1509" s="14" t="s">
        <v>250</v>
      </c>
      <c r="I1509" s="14">
        <v>0.33069896914528535</v>
      </c>
      <c r="J1509" s="14" t="s">
        <v>250</v>
      </c>
    </row>
    <row r="1510" spans="1:10" ht="15.75" x14ac:dyDescent="0.5">
      <c r="A1510" s="13" t="s">
        <v>322</v>
      </c>
      <c r="B1510" s="13" t="s">
        <v>421</v>
      </c>
      <c r="C1510" s="13" t="s">
        <v>400</v>
      </c>
      <c r="D1510" s="14" t="s">
        <v>250</v>
      </c>
      <c r="E1510" s="14" t="s">
        <v>250</v>
      </c>
      <c r="F1510" s="14" t="s">
        <v>250</v>
      </c>
      <c r="G1510" s="14">
        <v>672.51746076184395</v>
      </c>
      <c r="H1510" s="14">
        <v>1788.1205309809559</v>
      </c>
      <c r="I1510" s="14">
        <v>1733.3336786300524</v>
      </c>
      <c r="J1510" s="14">
        <v>686.28645531197208</v>
      </c>
    </row>
    <row r="1511" spans="1:10" ht="15.75" x14ac:dyDescent="0.5">
      <c r="A1511" s="13" t="s">
        <v>322</v>
      </c>
      <c r="B1511" s="13" t="s">
        <v>405</v>
      </c>
      <c r="C1511" s="13" t="s">
        <v>400</v>
      </c>
      <c r="D1511" s="14">
        <v>1259.3891290889949</v>
      </c>
      <c r="E1511" s="14">
        <v>1332.240320261322</v>
      </c>
      <c r="F1511" s="14">
        <v>1407.2090176645283</v>
      </c>
      <c r="G1511" s="14">
        <v>1029.2476626344865</v>
      </c>
      <c r="H1511" s="14">
        <v>522.12819828606314</v>
      </c>
      <c r="I1511" s="14">
        <v>490.72398458985214</v>
      </c>
      <c r="J1511" s="14">
        <v>258.95251928234853</v>
      </c>
    </row>
    <row r="1512" spans="1:10" ht="15.75" x14ac:dyDescent="0.5">
      <c r="A1512" s="13" t="s">
        <v>322</v>
      </c>
      <c r="B1512" s="13" t="s">
        <v>406</v>
      </c>
      <c r="C1512" s="13" t="s">
        <v>400</v>
      </c>
      <c r="D1512" s="14">
        <v>23.479196814299335</v>
      </c>
      <c r="E1512" s="14">
        <v>21.753714179608814</v>
      </c>
      <c r="F1512" s="14">
        <v>43.906613161227583</v>
      </c>
      <c r="G1512" s="14">
        <v>46.002643331639071</v>
      </c>
      <c r="H1512" s="14">
        <v>46.014585042927813</v>
      </c>
      <c r="I1512" s="14">
        <v>43.368862799478705</v>
      </c>
      <c r="J1512" s="14">
        <v>38.925003502520632</v>
      </c>
    </row>
    <row r="1513" spans="1:10" ht="15.75" x14ac:dyDescent="0.5">
      <c r="A1513" s="13" t="s">
        <v>322</v>
      </c>
      <c r="B1513" s="13" t="s">
        <v>407</v>
      </c>
      <c r="C1513" s="13" t="s">
        <v>400</v>
      </c>
      <c r="D1513" s="14" t="s">
        <v>250</v>
      </c>
      <c r="E1513" s="14">
        <v>114.8371363384683</v>
      </c>
      <c r="F1513" s="14">
        <v>111.61680918500851</v>
      </c>
      <c r="G1513" s="14">
        <v>212.08004188731809</v>
      </c>
      <c r="H1513" s="14">
        <v>110.01183672468913</v>
      </c>
      <c r="I1513" s="14">
        <v>66.681771439572401</v>
      </c>
      <c r="J1513" s="14">
        <v>17.319341703185067</v>
      </c>
    </row>
    <row r="1514" spans="1:10" ht="15.75" x14ac:dyDescent="0.5">
      <c r="A1514" s="13" t="s">
        <v>322</v>
      </c>
      <c r="B1514" s="13" t="s">
        <v>408</v>
      </c>
      <c r="C1514" s="13" t="s">
        <v>400</v>
      </c>
      <c r="D1514" s="14">
        <v>46.892290321001227</v>
      </c>
      <c r="E1514" s="14">
        <v>35.205875161605469</v>
      </c>
      <c r="F1514" s="14">
        <v>32.180263714119896</v>
      </c>
      <c r="G1514" s="14">
        <v>45.677072353889834</v>
      </c>
      <c r="H1514" s="14">
        <v>42.697424370699679</v>
      </c>
      <c r="I1514" s="14">
        <v>40.765230206904725</v>
      </c>
      <c r="J1514" s="14">
        <v>42.62520444361401</v>
      </c>
    </row>
    <row r="1515" spans="1:10" ht="15.75" x14ac:dyDescent="0.5">
      <c r="A1515" s="13" t="s">
        <v>322</v>
      </c>
      <c r="B1515" s="13" t="s">
        <v>409</v>
      </c>
      <c r="C1515" s="13" t="s">
        <v>400</v>
      </c>
      <c r="D1515" s="14">
        <v>18.365704270000037</v>
      </c>
      <c r="E1515" s="14">
        <v>18.36570427000003</v>
      </c>
      <c r="F1515" s="14">
        <v>18.365704270000034</v>
      </c>
      <c r="G1515" s="14">
        <v>18.36570427000003</v>
      </c>
      <c r="H1515" s="14">
        <v>18.36570427000003</v>
      </c>
      <c r="I1515" s="14">
        <v>18.365704270000041</v>
      </c>
      <c r="J1515" s="14">
        <v>17.669953192394196</v>
      </c>
    </row>
    <row r="1516" spans="1:10" ht="15.75" x14ac:dyDescent="0.5">
      <c r="A1516" s="13" t="s">
        <v>322</v>
      </c>
      <c r="B1516" s="13" t="s">
        <v>410</v>
      </c>
      <c r="C1516" s="13" t="s">
        <v>400</v>
      </c>
      <c r="D1516" s="14">
        <v>245.79356253202212</v>
      </c>
      <c r="E1516" s="14">
        <v>244.63634520376669</v>
      </c>
      <c r="F1516" s="14">
        <v>246.12445039394575</v>
      </c>
      <c r="G1516" s="14">
        <v>246.16997594139124</v>
      </c>
      <c r="H1516" s="14">
        <v>246.16997594139056</v>
      </c>
      <c r="I1516" s="14">
        <v>246.16997594205299</v>
      </c>
      <c r="J1516" s="14">
        <v>246.16997594139099</v>
      </c>
    </row>
    <row r="1517" spans="1:10" ht="15.75" x14ac:dyDescent="0.5">
      <c r="A1517" s="13" t="s">
        <v>322</v>
      </c>
      <c r="B1517" s="13" t="s">
        <v>411</v>
      </c>
      <c r="C1517" s="13" t="s">
        <v>400</v>
      </c>
      <c r="D1517" s="14">
        <v>7.1394000000000162</v>
      </c>
      <c r="E1517" s="14">
        <v>5.8260569343065836</v>
      </c>
      <c r="F1517" s="14" t="s">
        <v>250</v>
      </c>
      <c r="G1517" s="14" t="s">
        <v>250</v>
      </c>
      <c r="H1517" s="14" t="s">
        <v>250</v>
      </c>
      <c r="I1517" s="14" t="s">
        <v>250</v>
      </c>
      <c r="J1517" s="14" t="s">
        <v>250</v>
      </c>
    </row>
    <row r="1518" spans="1:10" ht="15.75" x14ac:dyDescent="0.5">
      <c r="A1518" s="13" t="s">
        <v>322</v>
      </c>
      <c r="B1518" s="13" t="s">
        <v>412</v>
      </c>
      <c r="C1518" s="13" t="s">
        <v>400</v>
      </c>
      <c r="D1518" s="14">
        <v>760.72545968400175</v>
      </c>
      <c r="E1518" s="14">
        <v>748.27337064906544</v>
      </c>
      <c r="F1518" s="14">
        <v>637.58445645862423</v>
      </c>
      <c r="G1518" s="14">
        <v>704.26981155581927</v>
      </c>
      <c r="H1518" s="14">
        <v>717.09883520549442</v>
      </c>
      <c r="I1518" s="14">
        <v>717.09883520549465</v>
      </c>
      <c r="J1518" s="14">
        <v>738.86300983999331</v>
      </c>
    </row>
    <row r="1519" spans="1:10" ht="15.75" x14ac:dyDescent="0.5">
      <c r="A1519" s="13" t="s">
        <v>322</v>
      </c>
      <c r="B1519" s="13" t="s">
        <v>413</v>
      </c>
      <c r="C1519" s="13" t="s">
        <v>400</v>
      </c>
      <c r="D1519" s="14">
        <v>23.702927619886136</v>
      </c>
      <c r="E1519" s="14">
        <v>20.584376864892931</v>
      </c>
      <c r="F1519" s="14">
        <v>6.7358727254631621</v>
      </c>
      <c r="G1519" s="14">
        <v>2.4699124638134435</v>
      </c>
      <c r="H1519" s="14">
        <v>0.8557421866815953</v>
      </c>
      <c r="I1519" s="14">
        <v>0.26841311958406755</v>
      </c>
      <c r="J1519" s="14">
        <v>7.6602481751824839E-2</v>
      </c>
    </row>
    <row r="1520" spans="1:10" ht="15.75" x14ac:dyDescent="0.5">
      <c r="A1520" s="13" t="s">
        <v>322</v>
      </c>
      <c r="B1520" s="13" t="s">
        <v>414</v>
      </c>
      <c r="C1520" s="13" t="s">
        <v>400</v>
      </c>
      <c r="D1520" s="14">
        <v>0.6803907705109502</v>
      </c>
      <c r="E1520" s="14">
        <v>24.413059816714217</v>
      </c>
      <c r="F1520" s="14">
        <v>100.39599860103833</v>
      </c>
      <c r="G1520" s="14">
        <v>206.68562242996191</v>
      </c>
      <c r="H1520" s="14">
        <v>253.29945610720199</v>
      </c>
      <c r="I1520" s="14">
        <v>254.81924967217779</v>
      </c>
      <c r="J1520" s="14">
        <v>255.99606206921726</v>
      </c>
    </row>
    <row r="1521" spans="1:10" ht="15.75" x14ac:dyDescent="0.5">
      <c r="A1521" s="13" t="s">
        <v>322</v>
      </c>
      <c r="B1521" s="13" t="s">
        <v>415</v>
      </c>
      <c r="C1521" s="13" t="s">
        <v>400</v>
      </c>
      <c r="D1521" s="14">
        <v>440.53124483255561</v>
      </c>
      <c r="E1521" s="14">
        <v>873.81161464141189</v>
      </c>
      <c r="F1521" s="14">
        <v>1350.4512414273147</v>
      </c>
      <c r="G1521" s="14">
        <v>1428.5279693336076</v>
      </c>
      <c r="H1521" s="14">
        <v>1596.2067664025867</v>
      </c>
      <c r="I1521" s="14">
        <v>2022.7366403336903</v>
      </c>
      <c r="J1521" s="14">
        <v>3195.0504912698907</v>
      </c>
    </row>
    <row r="1522" spans="1:10" ht="15.75" x14ac:dyDescent="0.5">
      <c r="A1522" s="13" t="s">
        <v>322</v>
      </c>
      <c r="B1522" s="13" t="s">
        <v>416</v>
      </c>
      <c r="C1522" s="13" t="s">
        <v>400</v>
      </c>
      <c r="D1522" s="14" t="s">
        <v>250</v>
      </c>
      <c r="E1522" s="14">
        <v>70.934498682900752</v>
      </c>
      <c r="F1522" s="14">
        <v>100.19546122793702</v>
      </c>
      <c r="G1522" s="14">
        <v>127.69344447727374</v>
      </c>
      <c r="H1522" s="14">
        <v>145.88323771792344</v>
      </c>
      <c r="I1522" s="14">
        <v>165.77906731373221</v>
      </c>
      <c r="J1522" s="14">
        <v>186.28657305490808</v>
      </c>
    </row>
    <row r="1523" spans="1:10" ht="15.75" x14ac:dyDescent="0.5">
      <c r="A1523" s="13" t="s">
        <v>322</v>
      </c>
      <c r="B1523" s="13" t="s">
        <v>417</v>
      </c>
      <c r="C1523" s="13" t="s">
        <v>400</v>
      </c>
      <c r="D1523" s="14">
        <v>187.48709633408689</v>
      </c>
      <c r="E1523" s="14">
        <v>298.36286233429854</v>
      </c>
      <c r="F1523" s="14">
        <v>339.94935565504693</v>
      </c>
      <c r="G1523" s="14">
        <v>675.84256308547162</v>
      </c>
      <c r="H1523" s="14">
        <v>1223.8168483405732</v>
      </c>
      <c r="I1523" s="14">
        <v>1999.0243415763971</v>
      </c>
      <c r="J1523" s="14">
        <v>3019.4974147778635</v>
      </c>
    </row>
    <row r="1524" spans="1:10" ht="15.75" x14ac:dyDescent="0.5">
      <c r="A1524" s="13" t="s">
        <v>322</v>
      </c>
      <c r="B1524" s="13" t="s">
        <v>418</v>
      </c>
      <c r="C1524" s="13" t="s">
        <v>400</v>
      </c>
      <c r="D1524" s="14">
        <v>3.184175173101953</v>
      </c>
      <c r="E1524" s="14">
        <v>3.184175173101953</v>
      </c>
      <c r="F1524" s="14">
        <v>3.184175173101953</v>
      </c>
      <c r="G1524" s="14">
        <v>3.1841751731019534</v>
      </c>
      <c r="H1524" s="14">
        <v>3.1841751731019534</v>
      </c>
      <c r="I1524" s="14">
        <v>3.184175173101953</v>
      </c>
      <c r="J1524" s="14">
        <v>3.1841751731019534</v>
      </c>
    </row>
    <row r="1525" spans="1:10" ht="15.75" x14ac:dyDescent="0.5">
      <c r="A1525" s="13" t="s">
        <v>322</v>
      </c>
      <c r="B1525" s="13" t="s">
        <v>419</v>
      </c>
      <c r="C1525" s="13" t="s">
        <v>400</v>
      </c>
      <c r="D1525" s="14">
        <v>0.54465920264079504</v>
      </c>
      <c r="E1525" s="14">
        <v>8.2608022017092022</v>
      </c>
      <c r="F1525" s="14">
        <v>30.070172870217235</v>
      </c>
      <c r="G1525" s="14">
        <v>78.393785993363025</v>
      </c>
      <c r="H1525" s="14">
        <v>207.87914783114292</v>
      </c>
      <c r="I1525" s="14">
        <v>541.21701748703185</v>
      </c>
      <c r="J1525" s="14">
        <v>1681.2062640681061</v>
      </c>
    </row>
    <row r="1526" spans="1:10" ht="15.75" x14ac:dyDescent="0.5">
      <c r="A1526" s="13" t="s">
        <v>322</v>
      </c>
      <c r="B1526" s="13" t="s">
        <v>420</v>
      </c>
      <c r="C1526" s="13" t="s">
        <v>400</v>
      </c>
      <c r="D1526" s="14">
        <v>-13.987252957808419</v>
      </c>
      <c r="E1526" s="14">
        <v>-13.72975579413972</v>
      </c>
      <c r="F1526" s="14">
        <v>-13.163190501921314</v>
      </c>
      <c r="G1526" s="14">
        <v>-12.226857070283835</v>
      </c>
      <c r="H1526" s="14">
        <v>-14.89398421835887</v>
      </c>
      <c r="I1526" s="14">
        <v>-16.460452380903533</v>
      </c>
      <c r="J1526" s="14">
        <v>-14.214300327638949</v>
      </c>
    </row>
    <row r="1527" spans="1:10" ht="15.75" x14ac:dyDescent="0.5">
      <c r="A1527" s="13" t="s">
        <v>323</v>
      </c>
      <c r="B1527" s="13" t="s">
        <v>399</v>
      </c>
      <c r="C1527" s="13" t="s">
        <v>400</v>
      </c>
      <c r="D1527" s="14">
        <v>7.2499064625597889</v>
      </c>
      <c r="E1527" s="14">
        <v>0.208982358102693</v>
      </c>
      <c r="F1527" s="14">
        <v>0.51246000000000103</v>
      </c>
      <c r="G1527" s="14">
        <v>0.89789368984252504</v>
      </c>
      <c r="H1527" s="14">
        <v>0.48911080291970888</v>
      </c>
      <c r="I1527" s="14">
        <v>0.61483419446273202</v>
      </c>
      <c r="J1527" s="14">
        <v>0.53832638654190257</v>
      </c>
    </row>
    <row r="1528" spans="1:10" ht="15.75" x14ac:dyDescent="0.5">
      <c r="A1528" s="13" t="s">
        <v>323</v>
      </c>
      <c r="B1528" s="13" t="s">
        <v>401</v>
      </c>
      <c r="C1528" s="13" t="s">
        <v>400</v>
      </c>
      <c r="D1528" s="14" t="s">
        <v>250</v>
      </c>
      <c r="E1528" s="14" t="s">
        <v>250</v>
      </c>
      <c r="F1528" s="14">
        <v>107.08731493178193</v>
      </c>
      <c r="G1528" s="14">
        <v>107.0873149317819</v>
      </c>
      <c r="H1528" s="14">
        <v>26.654963075327078</v>
      </c>
      <c r="I1528" s="14">
        <v>22.663101759733216</v>
      </c>
      <c r="J1528" s="14" t="s">
        <v>250</v>
      </c>
    </row>
    <row r="1529" spans="1:10" ht="15.75" x14ac:dyDescent="0.5">
      <c r="A1529" s="13" t="s">
        <v>323</v>
      </c>
      <c r="B1529" s="13" t="s">
        <v>402</v>
      </c>
      <c r="C1529" s="13" t="s">
        <v>400</v>
      </c>
      <c r="D1529" s="14">
        <v>1072.9916742877467</v>
      </c>
      <c r="E1529" s="14">
        <v>401.25731296506882</v>
      </c>
      <c r="F1529" s="14">
        <v>187.02599010123112</v>
      </c>
      <c r="G1529" s="14">
        <v>192.88091009852508</v>
      </c>
      <c r="H1529" s="14">
        <v>202.51296686636135</v>
      </c>
      <c r="I1529" s="14">
        <v>60.905216530614922</v>
      </c>
      <c r="J1529" s="14" t="s">
        <v>250</v>
      </c>
    </row>
    <row r="1530" spans="1:10" ht="15.75" x14ac:dyDescent="0.5">
      <c r="A1530" s="13" t="s">
        <v>323</v>
      </c>
      <c r="B1530" s="13" t="s">
        <v>403</v>
      </c>
      <c r="C1530" s="13" t="s">
        <v>400</v>
      </c>
      <c r="D1530" s="14" t="s">
        <v>250</v>
      </c>
      <c r="E1530" s="14" t="s">
        <v>250</v>
      </c>
      <c r="F1530" s="14">
        <v>40.230216600076524</v>
      </c>
      <c r="G1530" s="14">
        <v>40.230216600076503</v>
      </c>
      <c r="H1530" s="14">
        <v>8.108920323861776</v>
      </c>
      <c r="I1530" s="14">
        <v>8.108920323861776</v>
      </c>
      <c r="J1530" s="14" t="s">
        <v>250</v>
      </c>
    </row>
    <row r="1531" spans="1:10" ht="15.75" x14ac:dyDescent="0.5">
      <c r="A1531" s="13" t="s">
        <v>323</v>
      </c>
      <c r="B1531" s="13" t="s">
        <v>404</v>
      </c>
      <c r="C1531" s="13" t="s">
        <v>400</v>
      </c>
      <c r="D1531" s="14" t="s">
        <v>250</v>
      </c>
      <c r="E1531" s="14" t="s">
        <v>250</v>
      </c>
      <c r="F1531" s="14" t="s">
        <v>250</v>
      </c>
      <c r="G1531" s="14" t="s">
        <v>250</v>
      </c>
      <c r="H1531" s="14" t="s">
        <v>250</v>
      </c>
      <c r="I1531" s="14">
        <v>0.3306989691452854</v>
      </c>
      <c r="J1531" s="14" t="s">
        <v>250</v>
      </c>
    </row>
    <row r="1532" spans="1:10" ht="15.75" x14ac:dyDescent="0.5">
      <c r="A1532" s="13" t="s">
        <v>323</v>
      </c>
      <c r="B1532" s="13" t="s">
        <v>421</v>
      </c>
      <c r="C1532" s="13" t="s">
        <v>400</v>
      </c>
      <c r="D1532" s="14" t="s">
        <v>250</v>
      </c>
      <c r="E1532" s="14" t="s">
        <v>250</v>
      </c>
      <c r="F1532" s="14" t="s">
        <v>250</v>
      </c>
      <c r="G1532" s="14">
        <v>639.89120269698651</v>
      </c>
      <c r="H1532" s="14">
        <v>1707.8480691499121</v>
      </c>
      <c r="I1532" s="14">
        <v>1651.0914498118707</v>
      </c>
      <c r="J1532" s="14">
        <v>272.73640678224103</v>
      </c>
    </row>
    <row r="1533" spans="1:10" ht="15.75" x14ac:dyDescent="0.5">
      <c r="A1533" s="13" t="s">
        <v>323</v>
      </c>
      <c r="B1533" s="13" t="s">
        <v>405</v>
      </c>
      <c r="C1533" s="13" t="s">
        <v>400</v>
      </c>
      <c r="D1533" s="14">
        <v>1259.389129088994</v>
      </c>
      <c r="E1533" s="14">
        <v>1335.5957613667676</v>
      </c>
      <c r="F1533" s="14">
        <v>1406.7419494094274</v>
      </c>
      <c r="G1533" s="14">
        <v>1052.3362272370803</v>
      </c>
      <c r="H1533" s="14">
        <v>533.87135874044225</v>
      </c>
      <c r="I1533" s="14">
        <v>464.39212269055679</v>
      </c>
      <c r="J1533" s="14">
        <v>255.58829887541995</v>
      </c>
    </row>
    <row r="1534" spans="1:10" ht="15.75" x14ac:dyDescent="0.5">
      <c r="A1534" s="13" t="s">
        <v>323</v>
      </c>
      <c r="B1534" s="13" t="s">
        <v>406</v>
      </c>
      <c r="C1534" s="13" t="s">
        <v>400</v>
      </c>
      <c r="D1534" s="14">
        <v>23.479196814299335</v>
      </c>
      <c r="E1534" s="14">
        <v>22.428642907538169</v>
      </c>
      <c r="F1534" s="14">
        <v>44.666848720614368</v>
      </c>
      <c r="G1534" s="14">
        <v>49.308577653505552</v>
      </c>
      <c r="H1534" s="14">
        <v>53.764416607642779</v>
      </c>
      <c r="I1534" s="14">
        <v>50.805468580092068</v>
      </c>
      <c r="J1534" s="14">
        <v>46.459103059428294</v>
      </c>
    </row>
    <row r="1535" spans="1:10" ht="15.75" x14ac:dyDescent="0.5">
      <c r="A1535" s="13" t="s">
        <v>323</v>
      </c>
      <c r="B1535" s="13" t="s">
        <v>407</v>
      </c>
      <c r="C1535" s="13" t="s">
        <v>400</v>
      </c>
      <c r="D1535" s="14" t="s">
        <v>250</v>
      </c>
      <c r="E1535" s="14">
        <v>106.90038891703391</v>
      </c>
      <c r="F1535" s="14">
        <v>102.23196824410053</v>
      </c>
      <c r="G1535" s="14">
        <v>203.324710207978</v>
      </c>
      <c r="H1535" s="14">
        <v>111.35758336652077</v>
      </c>
      <c r="I1535" s="14">
        <v>34.030381657474202</v>
      </c>
      <c r="J1535" s="14">
        <v>12.938402777777799</v>
      </c>
    </row>
    <row r="1536" spans="1:10" ht="15.75" x14ac:dyDescent="0.5">
      <c r="A1536" s="13" t="s">
        <v>323</v>
      </c>
      <c r="B1536" s="13" t="s">
        <v>408</v>
      </c>
      <c r="C1536" s="13" t="s">
        <v>400</v>
      </c>
      <c r="D1536" s="14">
        <v>46.892290321001234</v>
      </c>
      <c r="E1536" s="14">
        <v>35.178362557836827</v>
      </c>
      <c r="F1536" s="14">
        <v>32.076963514976491</v>
      </c>
      <c r="G1536" s="14">
        <v>45.960968225936945</v>
      </c>
      <c r="H1536" s="14">
        <v>41.309553991420955</v>
      </c>
      <c r="I1536" s="14">
        <v>37.834877430657009</v>
      </c>
      <c r="J1536" s="14">
        <v>37.477102596495371</v>
      </c>
    </row>
    <row r="1537" spans="1:10" ht="15.75" x14ac:dyDescent="0.5">
      <c r="A1537" s="13" t="s">
        <v>323</v>
      </c>
      <c r="B1537" s="13" t="s">
        <v>409</v>
      </c>
      <c r="C1537" s="13" t="s">
        <v>400</v>
      </c>
      <c r="D1537" s="14">
        <v>18.365704270000034</v>
      </c>
      <c r="E1537" s="14">
        <v>18.365704270000034</v>
      </c>
      <c r="F1537" s="14">
        <v>18.36570427000003</v>
      </c>
      <c r="G1537" s="14">
        <v>18.36570427000003</v>
      </c>
      <c r="H1537" s="14">
        <v>18.365704270000037</v>
      </c>
      <c r="I1537" s="14">
        <v>18.365704270000034</v>
      </c>
      <c r="J1537" s="14">
        <v>18.365704270000041</v>
      </c>
    </row>
    <row r="1538" spans="1:10" ht="15.75" x14ac:dyDescent="0.5">
      <c r="A1538" s="13" t="s">
        <v>323</v>
      </c>
      <c r="B1538" s="13" t="s">
        <v>410</v>
      </c>
      <c r="C1538" s="13" t="s">
        <v>400</v>
      </c>
      <c r="D1538" s="14">
        <v>245.79356253202218</v>
      </c>
      <c r="E1538" s="14">
        <v>244.60137119071743</v>
      </c>
      <c r="F1538" s="14">
        <v>246.12445039596307</v>
      </c>
      <c r="G1538" s="14">
        <v>246.16997594139022</v>
      </c>
      <c r="H1538" s="14">
        <v>246.16997594138962</v>
      </c>
      <c r="I1538" s="14">
        <v>246.16365824622329</v>
      </c>
      <c r="J1538" s="14">
        <v>246.16997594139374</v>
      </c>
    </row>
    <row r="1539" spans="1:10" ht="15.75" x14ac:dyDescent="0.5">
      <c r="A1539" s="13" t="s">
        <v>323</v>
      </c>
      <c r="B1539" s="13" t="s">
        <v>411</v>
      </c>
      <c r="C1539" s="13" t="s">
        <v>400</v>
      </c>
      <c r="D1539" s="14">
        <v>7.1394000000000162</v>
      </c>
      <c r="E1539" s="14">
        <v>5.7072143863514864</v>
      </c>
      <c r="F1539" s="14" t="s">
        <v>250</v>
      </c>
      <c r="G1539" s="14" t="s">
        <v>250</v>
      </c>
      <c r="H1539" s="14" t="s">
        <v>250</v>
      </c>
      <c r="I1539" s="14" t="s">
        <v>250</v>
      </c>
      <c r="J1539" s="14" t="s">
        <v>250</v>
      </c>
    </row>
    <row r="1540" spans="1:10" ht="15.75" x14ac:dyDescent="0.5">
      <c r="A1540" s="13" t="s">
        <v>323</v>
      </c>
      <c r="B1540" s="13" t="s">
        <v>412</v>
      </c>
      <c r="C1540" s="13" t="s">
        <v>400</v>
      </c>
      <c r="D1540" s="14">
        <v>760.72545968400163</v>
      </c>
      <c r="E1540" s="14">
        <v>751.47048949959515</v>
      </c>
      <c r="F1540" s="14">
        <v>649.58284081467468</v>
      </c>
      <c r="G1540" s="14">
        <v>713.57364845698351</v>
      </c>
      <c r="H1540" s="14">
        <v>864.8069318122291</v>
      </c>
      <c r="I1540" s="14">
        <v>1279.0396340501311</v>
      </c>
      <c r="J1540" s="14">
        <v>2125.9200873455138</v>
      </c>
    </row>
    <row r="1541" spans="1:10" ht="15.75" x14ac:dyDescent="0.5">
      <c r="A1541" s="13" t="s">
        <v>323</v>
      </c>
      <c r="B1541" s="13" t="s">
        <v>413</v>
      </c>
      <c r="C1541" s="13" t="s">
        <v>400</v>
      </c>
      <c r="D1541" s="14">
        <v>23.702927619886129</v>
      </c>
      <c r="E1541" s="14">
        <v>20.592310786908367</v>
      </c>
      <c r="F1541" s="14">
        <v>6.5759558565675249</v>
      </c>
      <c r="G1541" s="14">
        <v>2.4724496730687004</v>
      </c>
      <c r="H1541" s="14">
        <v>1.1209645967886719</v>
      </c>
      <c r="I1541" s="14">
        <v>0.26235739421583337</v>
      </c>
      <c r="J1541" s="14" t="s">
        <v>250</v>
      </c>
    </row>
    <row r="1542" spans="1:10" ht="15.75" x14ac:dyDescent="0.5">
      <c r="A1542" s="13" t="s">
        <v>323</v>
      </c>
      <c r="B1542" s="13" t="s">
        <v>414</v>
      </c>
      <c r="C1542" s="13" t="s">
        <v>400</v>
      </c>
      <c r="D1542" s="14">
        <v>0.6803907705109502</v>
      </c>
      <c r="E1542" s="14">
        <v>24.413059816714217</v>
      </c>
      <c r="F1542" s="14">
        <v>100.4334218635744</v>
      </c>
      <c r="G1542" s="14">
        <v>206.68715322736873</v>
      </c>
      <c r="H1542" s="14">
        <v>253.12743794666679</v>
      </c>
      <c r="I1542" s="14">
        <v>254.64609382539564</v>
      </c>
      <c r="J1542" s="14">
        <v>255.82202857875896</v>
      </c>
    </row>
    <row r="1543" spans="1:10" ht="15.75" x14ac:dyDescent="0.5">
      <c r="A1543" s="13" t="s">
        <v>323</v>
      </c>
      <c r="B1543" s="13" t="s">
        <v>415</v>
      </c>
      <c r="C1543" s="13" t="s">
        <v>400</v>
      </c>
      <c r="D1543" s="14">
        <v>440.53124483255567</v>
      </c>
      <c r="E1543" s="14">
        <v>873.81161464141212</v>
      </c>
      <c r="F1543" s="14">
        <v>1345.9253249335575</v>
      </c>
      <c r="G1543" s="14">
        <v>1418.0533872490296</v>
      </c>
      <c r="H1543" s="14">
        <v>1559.2871887403853</v>
      </c>
      <c r="I1543" s="14">
        <v>1791.2685587011877</v>
      </c>
      <c r="J1543" s="14">
        <v>2638.4636365311012</v>
      </c>
    </row>
    <row r="1544" spans="1:10" ht="15.75" x14ac:dyDescent="0.5">
      <c r="A1544" s="13" t="s">
        <v>323</v>
      </c>
      <c r="B1544" s="13" t="s">
        <v>416</v>
      </c>
      <c r="C1544" s="13" t="s">
        <v>400</v>
      </c>
      <c r="D1544" s="14" t="s">
        <v>250</v>
      </c>
      <c r="E1544" s="14">
        <v>70.934498682900738</v>
      </c>
      <c r="F1544" s="14">
        <v>100.19546122793705</v>
      </c>
      <c r="G1544" s="14">
        <v>127.69344447727369</v>
      </c>
      <c r="H1544" s="14">
        <v>145.88323771792341</v>
      </c>
      <c r="I1544" s="14">
        <v>165.77906731373221</v>
      </c>
      <c r="J1544" s="14">
        <v>186.28657305490805</v>
      </c>
    </row>
    <row r="1545" spans="1:10" ht="15.75" x14ac:dyDescent="0.5">
      <c r="A1545" s="13" t="s">
        <v>323</v>
      </c>
      <c r="B1545" s="13" t="s">
        <v>417</v>
      </c>
      <c r="C1545" s="13" t="s">
        <v>400</v>
      </c>
      <c r="D1545" s="14">
        <v>187.48709633408686</v>
      </c>
      <c r="E1545" s="14">
        <v>298.36286233429843</v>
      </c>
      <c r="F1545" s="14">
        <v>339.94935565504704</v>
      </c>
      <c r="G1545" s="14">
        <v>699.0319883767902</v>
      </c>
      <c r="H1545" s="14">
        <v>1156.9658212488182</v>
      </c>
      <c r="I1545" s="14">
        <v>1763.3055528404141</v>
      </c>
      <c r="J1545" s="14">
        <v>2410.6441503304295</v>
      </c>
    </row>
    <row r="1546" spans="1:10" ht="15.75" x14ac:dyDescent="0.5">
      <c r="A1546" s="13" t="s">
        <v>323</v>
      </c>
      <c r="B1546" s="13" t="s">
        <v>418</v>
      </c>
      <c r="C1546" s="13" t="s">
        <v>400</v>
      </c>
      <c r="D1546" s="14">
        <v>3.1841751731019534</v>
      </c>
      <c r="E1546" s="14">
        <v>3.1841751731019534</v>
      </c>
      <c r="F1546" s="14">
        <v>3.1841751731019534</v>
      </c>
      <c r="G1546" s="14">
        <v>3.1841751731019534</v>
      </c>
      <c r="H1546" s="14">
        <v>3.1841751731019539</v>
      </c>
      <c r="I1546" s="14">
        <v>3.1841751731019539</v>
      </c>
      <c r="J1546" s="14">
        <v>3.1841751731019534</v>
      </c>
    </row>
    <row r="1547" spans="1:10" ht="15.75" x14ac:dyDescent="0.5">
      <c r="A1547" s="13" t="s">
        <v>323</v>
      </c>
      <c r="B1547" s="13" t="s">
        <v>419</v>
      </c>
      <c r="C1547" s="13" t="s">
        <v>400</v>
      </c>
      <c r="D1547" s="14">
        <v>0.54465920264079493</v>
      </c>
      <c r="E1547" s="14">
        <v>8.4970465258143442</v>
      </c>
      <c r="F1547" s="14">
        <v>27.920624953835926</v>
      </c>
      <c r="G1547" s="14">
        <v>67.98614350387551</v>
      </c>
      <c r="H1547" s="14">
        <v>156.76929392238816</v>
      </c>
      <c r="I1547" s="14">
        <v>341.5514342965883</v>
      </c>
      <c r="J1547" s="14">
        <v>800.29207632432372</v>
      </c>
    </row>
    <row r="1548" spans="1:10" ht="15.75" x14ac:dyDescent="0.5">
      <c r="A1548" s="13" t="s">
        <v>323</v>
      </c>
      <c r="B1548" s="13" t="s">
        <v>420</v>
      </c>
      <c r="C1548" s="13" t="s">
        <v>400</v>
      </c>
      <c r="D1548" s="14">
        <v>-13.98725295780838</v>
      </c>
      <c r="E1548" s="14">
        <v>-13.754008536764619</v>
      </c>
      <c r="F1548" s="14">
        <v>-13.460598685765857</v>
      </c>
      <c r="G1548" s="14">
        <v>-12.338014415648606</v>
      </c>
      <c r="H1548" s="14">
        <v>-14.03029504644592</v>
      </c>
      <c r="I1548" s="14">
        <v>-16.72102560784673</v>
      </c>
      <c r="J1548" s="14">
        <v>-18.210064233099907</v>
      </c>
    </row>
    <row r="1549" spans="1:10" ht="15.75" x14ac:dyDescent="0.5">
      <c r="A1549" s="13" t="s">
        <v>324</v>
      </c>
      <c r="B1549" s="13" t="s">
        <v>399</v>
      </c>
      <c r="C1549" s="13" t="s">
        <v>400</v>
      </c>
      <c r="D1549" s="14">
        <v>7.2499064625597889</v>
      </c>
      <c r="E1549" s="14">
        <v>4.2389343065693544E-2</v>
      </c>
      <c r="F1549" s="14">
        <v>0.51246000000000103</v>
      </c>
      <c r="G1549" s="14">
        <v>0.78288000000000169</v>
      </c>
      <c r="H1549" s="14">
        <v>0.32713410218978167</v>
      </c>
      <c r="I1549" s="14" t="s">
        <v>250</v>
      </c>
      <c r="J1549" s="14">
        <v>0.61633951434808387</v>
      </c>
    </row>
    <row r="1550" spans="1:10" ht="15.75" x14ac:dyDescent="0.5">
      <c r="A1550" s="13" t="s">
        <v>324</v>
      </c>
      <c r="B1550" s="13" t="s">
        <v>401</v>
      </c>
      <c r="C1550" s="13" t="s">
        <v>400</v>
      </c>
      <c r="D1550" s="14" t="s">
        <v>250</v>
      </c>
      <c r="E1550" s="14" t="s">
        <v>250</v>
      </c>
      <c r="F1550" s="14">
        <v>85.33959529940492</v>
      </c>
      <c r="G1550" s="14">
        <v>85.339595299404905</v>
      </c>
      <c r="H1550" s="14">
        <v>15.282259692214929</v>
      </c>
      <c r="I1550" s="14">
        <v>13.717604106994315</v>
      </c>
      <c r="J1550" s="14" t="s">
        <v>250</v>
      </c>
    </row>
    <row r="1551" spans="1:10" ht="15.75" x14ac:dyDescent="0.5">
      <c r="A1551" s="13" t="s">
        <v>324</v>
      </c>
      <c r="B1551" s="13" t="s">
        <v>402</v>
      </c>
      <c r="C1551" s="13" t="s">
        <v>400</v>
      </c>
      <c r="D1551" s="14">
        <v>1072.9916742877465</v>
      </c>
      <c r="E1551" s="14">
        <v>275.79371400416773</v>
      </c>
      <c r="F1551" s="14">
        <v>147.11732956266039</v>
      </c>
      <c r="G1551" s="14">
        <v>145.60351042829154</v>
      </c>
      <c r="H1551" s="14">
        <v>127.65588232638962</v>
      </c>
      <c r="I1551" s="14">
        <v>89.326711531190426</v>
      </c>
      <c r="J1551" s="14">
        <v>73.329068602443172</v>
      </c>
    </row>
    <row r="1552" spans="1:10" ht="15.75" x14ac:dyDescent="0.5">
      <c r="A1552" s="13" t="s">
        <v>324</v>
      </c>
      <c r="B1552" s="13" t="s">
        <v>403</v>
      </c>
      <c r="C1552" s="13" t="s">
        <v>400</v>
      </c>
      <c r="D1552" s="14" t="s">
        <v>250</v>
      </c>
      <c r="E1552" s="14" t="s">
        <v>250</v>
      </c>
      <c r="F1552" s="14">
        <v>46.391707912247931</v>
      </c>
      <c r="G1552" s="14">
        <v>46.391707912247938</v>
      </c>
      <c r="H1552" s="14">
        <v>9.3919113735472113</v>
      </c>
      <c r="I1552" s="14">
        <v>9.3919113735472077</v>
      </c>
      <c r="J1552" s="14" t="s">
        <v>250</v>
      </c>
    </row>
    <row r="1553" spans="1:10" ht="15.75" x14ac:dyDescent="0.5">
      <c r="A1553" s="13" t="s">
        <v>324</v>
      </c>
      <c r="B1553" s="13" t="s">
        <v>404</v>
      </c>
      <c r="C1553" s="13" t="s">
        <v>400</v>
      </c>
      <c r="D1553" s="14" t="s">
        <v>250</v>
      </c>
      <c r="E1553" s="14" t="s">
        <v>250</v>
      </c>
      <c r="F1553" s="14" t="s">
        <v>250</v>
      </c>
      <c r="G1553" s="14" t="s">
        <v>250</v>
      </c>
      <c r="H1553" s="14" t="s">
        <v>250</v>
      </c>
      <c r="I1553" s="14">
        <v>0.33069896914528529</v>
      </c>
      <c r="J1553" s="14">
        <v>0.33069896914528529</v>
      </c>
    </row>
    <row r="1554" spans="1:10" ht="15.75" x14ac:dyDescent="0.5">
      <c r="A1554" s="13" t="s">
        <v>324</v>
      </c>
      <c r="B1554" s="13" t="s">
        <v>405</v>
      </c>
      <c r="C1554" s="13" t="s">
        <v>400</v>
      </c>
      <c r="D1554" s="14">
        <v>1259.3891290889951</v>
      </c>
      <c r="E1554" s="14">
        <v>1480.7834682870885</v>
      </c>
      <c r="F1554" s="14">
        <v>1686.0635024279809</v>
      </c>
      <c r="G1554" s="14">
        <v>2406.8991966857129</v>
      </c>
      <c r="H1554" s="14">
        <v>3118.8605273765011</v>
      </c>
      <c r="I1554" s="14">
        <v>3004.3051479368305</v>
      </c>
      <c r="J1554" s="14">
        <v>3423.9228954602549</v>
      </c>
    </row>
    <row r="1555" spans="1:10" ht="15.75" x14ac:dyDescent="0.5">
      <c r="A1555" s="13" t="s">
        <v>324</v>
      </c>
      <c r="B1555" s="13" t="s">
        <v>406</v>
      </c>
      <c r="C1555" s="13" t="s">
        <v>400</v>
      </c>
      <c r="D1555" s="14">
        <v>23.479196814299339</v>
      </c>
      <c r="E1555" s="14">
        <v>28.922478652676581</v>
      </c>
      <c r="F1555" s="14">
        <v>42.661965295977254</v>
      </c>
      <c r="G1555" s="14">
        <v>43.446284396524078</v>
      </c>
      <c r="H1555" s="14">
        <v>43.955916798013298</v>
      </c>
      <c r="I1555" s="14">
        <v>45.631318992873531</v>
      </c>
      <c r="J1555" s="14">
        <v>45.38094981712851</v>
      </c>
    </row>
    <row r="1556" spans="1:10" ht="15.75" x14ac:dyDescent="0.5">
      <c r="A1556" s="13" t="s">
        <v>324</v>
      </c>
      <c r="B1556" s="13" t="s">
        <v>407</v>
      </c>
      <c r="C1556" s="13" t="s">
        <v>400</v>
      </c>
      <c r="D1556" s="14" t="s">
        <v>250</v>
      </c>
      <c r="E1556" s="14">
        <v>95.083151545424712</v>
      </c>
      <c r="F1556" s="14">
        <v>43.209495358127342</v>
      </c>
      <c r="G1556" s="14">
        <v>93.941255569305952</v>
      </c>
      <c r="H1556" s="14">
        <v>61.485855350688034</v>
      </c>
      <c r="I1556" s="14">
        <v>13.36052610354189</v>
      </c>
      <c r="J1556" s="14">
        <v>30.33329270571226</v>
      </c>
    </row>
    <row r="1557" spans="1:10" ht="15.75" x14ac:dyDescent="0.5">
      <c r="A1557" s="13" t="s">
        <v>324</v>
      </c>
      <c r="B1557" s="13" t="s">
        <v>408</v>
      </c>
      <c r="C1557" s="13" t="s">
        <v>400</v>
      </c>
      <c r="D1557" s="14">
        <v>46.892290321001234</v>
      </c>
      <c r="E1557" s="14">
        <v>30.031515940180601</v>
      </c>
      <c r="F1557" s="14">
        <v>22.743946831211023</v>
      </c>
      <c r="G1557" s="14">
        <v>27.909172412120327</v>
      </c>
      <c r="H1557" s="14">
        <v>27.162737505218889</v>
      </c>
      <c r="I1557" s="14">
        <v>25.768180665353071</v>
      </c>
      <c r="J1557" s="14">
        <v>27.233138147284265</v>
      </c>
    </row>
    <row r="1558" spans="1:10" ht="15.75" x14ac:dyDescent="0.5">
      <c r="A1558" s="13" t="s">
        <v>324</v>
      </c>
      <c r="B1558" s="13" t="s">
        <v>409</v>
      </c>
      <c r="C1558" s="13" t="s">
        <v>400</v>
      </c>
      <c r="D1558" s="14">
        <v>18.365704270000037</v>
      </c>
      <c r="E1558" s="14">
        <v>18.365704270000037</v>
      </c>
      <c r="F1558" s="14">
        <v>18.36570427000003</v>
      </c>
      <c r="G1558" s="14">
        <v>18.36570427000003</v>
      </c>
      <c r="H1558" s="14">
        <v>18.36570427000003</v>
      </c>
      <c r="I1558" s="14">
        <v>18.36570427000003</v>
      </c>
      <c r="J1558" s="14">
        <v>18.365704270000037</v>
      </c>
    </row>
    <row r="1559" spans="1:10" ht="15.75" x14ac:dyDescent="0.5">
      <c r="A1559" s="13" t="s">
        <v>324</v>
      </c>
      <c r="B1559" s="13" t="s">
        <v>410</v>
      </c>
      <c r="C1559" s="13" t="s">
        <v>400</v>
      </c>
      <c r="D1559" s="14">
        <v>245.79356253202221</v>
      </c>
      <c r="E1559" s="14">
        <v>245.14692230132468</v>
      </c>
      <c r="F1559" s="14">
        <v>245.75030805041288</v>
      </c>
      <c r="G1559" s="14">
        <v>245.97721200546027</v>
      </c>
      <c r="H1559" s="14">
        <v>246.14974236474868</v>
      </c>
      <c r="I1559" s="14">
        <v>246.02018729531557</v>
      </c>
      <c r="J1559" s="14">
        <v>246.05206184840745</v>
      </c>
    </row>
    <row r="1560" spans="1:10" ht="15.75" x14ac:dyDescent="0.5">
      <c r="A1560" s="13" t="s">
        <v>324</v>
      </c>
      <c r="B1560" s="13" t="s">
        <v>411</v>
      </c>
      <c r="C1560" s="13" t="s">
        <v>400</v>
      </c>
      <c r="D1560" s="14">
        <v>7.1394000000000162</v>
      </c>
      <c r="E1560" s="14">
        <v>3.5593489051094975</v>
      </c>
      <c r="F1560" s="14" t="s">
        <v>250</v>
      </c>
      <c r="G1560" s="14" t="s">
        <v>250</v>
      </c>
      <c r="H1560" s="14" t="s">
        <v>250</v>
      </c>
      <c r="I1560" s="14" t="s">
        <v>250</v>
      </c>
      <c r="J1560" s="14" t="s">
        <v>250</v>
      </c>
    </row>
    <row r="1561" spans="1:10" ht="15.75" x14ac:dyDescent="0.5">
      <c r="A1561" s="13" t="s">
        <v>324</v>
      </c>
      <c r="B1561" s="13" t="s">
        <v>412</v>
      </c>
      <c r="C1561" s="13" t="s">
        <v>400</v>
      </c>
      <c r="D1561" s="14">
        <v>760.72545968400186</v>
      </c>
      <c r="E1561" s="14">
        <v>745.23408897880245</v>
      </c>
      <c r="F1561" s="14">
        <v>500.82488504619539</v>
      </c>
      <c r="G1561" s="14">
        <v>546.03057376696563</v>
      </c>
      <c r="H1561" s="14">
        <v>549.52813938557665</v>
      </c>
      <c r="I1561" s="14">
        <v>461.93710452976393</v>
      </c>
      <c r="J1561" s="14">
        <v>372.15805918508011</v>
      </c>
    </row>
    <row r="1562" spans="1:10" ht="15.75" x14ac:dyDescent="0.5">
      <c r="A1562" s="13" t="s">
        <v>324</v>
      </c>
      <c r="B1562" s="13" t="s">
        <v>413</v>
      </c>
      <c r="C1562" s="13" t="s">
        <v>400</v>
      </c>
      <c r="D1562" s="14">
        <v>23.70292761988614</v>
      </c>
      <c r="E1562" s="14">
        <v>27.12779132707875</v>
      </c>
      <c r="F1562" s="14">
        <v>11.178643796301161</v>
      </c>
      <c r="G1562" s="14">
        <v>4.4795467164960971</v>
      </c>
      <c r="H1562" s="14">
        <v>2.2906275407620611</v>
      </c>
      <c r="I1562" s="14">
        <v>1.3229209564482869</v>
      </c>
      <c r="J1562" s="14">
        <v>1.0797534992369564</v>
      </c>
    </row>
    <row r="1563" spans="1:10" ht="15.75" x14ac:dyDescent="0.5">
      <c r="A1563" s="13" t="s">
        <v>324</v>
      </c>
      <c r="B1563" s="13" t="s">
        <v>414</v>
      </c>
      <c r="C1563" s="13" t="s">
        <v>400</v>
      </c>
      <c r="D1563" s="14">
        <v>0.68039077051095032</v>
      </c>
      <c r="E1563" s="14">
        <v>24.091917134602127</v>
      </c>
      <c r="F1563" s="14">
        <v>94.593152677312958</v>
      </c>
      <c r="G1563" s="14">
        <v>188.5061178925942</v>
      </c>
      <c r="H1563" s="14">
        <v>228.10682933363762</v>
      </c>
      <c r="I1563" s="14">
        <v>228.68383757289737</v>
      </c>
      <c r="J1563" s="14">
        <v>229.09598631522624</v>
      </c>
    </row>
    <row r="1564" spans="1:10" ht="15.75" x14ac:dyDescent="0.5">
      <c r="A1564" s="13" t="s">
        <v>324</v>
      </c>
      <c r="B1564" s="13" t="s">
        <v>415</v>
      </c>
      <c r="C1564" s="13" t="s">
        <v>400</v>
      </c>
      <c r="D1564" s="14">
        <v>440.53124483255561</v>
      </c>
      <c r="E1564" s="14">
        <v>870.43097663966819</v>
      </c>
      <c r="F1564" s="14">
        <v>1355.4288819538965</v>
      </c>
      <c r="G1564" s="14">
        <v>1424.9733101724062</v>
      </c>
      <c r="H1564" s="14">
        <v>1733.2204123588926</v>
      </c>
      <c r="I1564" s="14">
        <v>2206.7575831363361</v>
      </c>
      <c r="J1564" s="14">
        <v>2261.3218150630596</v>
      </c>
    </row>
    <row r="1565" spans="1:10" ht="15.75" x14ac:dyDescent="0.5">
      <c r="A1565" s="13" t="s">
        <v>324</v>
      </c>
      <c r="B1565" s="13" t="s">
        <v>416</v>
      </c>
      <c r="C1565" s="13" t="s">
        <v>400</v>
      </c>
      <c r="D1565" s="14" t="s">
        <v>250</v>
      </c>
      <c r="E1565" s="14">
        <v>54.174742594980984</v>
      </c>
      <c r="F1565" s="14">
        <v>66.675949052097494</v>
      </c>
      <c r="G1565" s="14">
        <v>76.80143517020214</v>
      </c>
      <c r="H1565" s="14">
        <v>77.990654991853745</v>
      </c>
      <c r="I1565" s="14">
        <v>82.683057309487637</v>
      </c>
      <c r="J1565" s="14">
        <v>94.727837483420956</v>
      </c>
    </row>
    <row r="1566" spans="1:10" ht="15.75" x14ac:dyDescent="0.5">
      <c r="A1566" s="13" t="s">
        <v>324</v>
      </c>
      <c r="B1566" s="13" t="s">
        <v>417</v>
      </c>
      <c r="C1566" s="13" t="s">
        <v>400</v>
      </c>
      <c r="D1566" s="14">
        <v>187.48709633408694</v>
      </c>
      <c r="E1566" s="14">
        <v>303.04243707946961</v>
      </c>
      <c r="F1566" s="14">
        <v>346.59751553301697</v>
      </c>
      <c r="G1566" s="14">
        <v>429.40997874492729</v>
      </c>
      <c r="H1566" s="14">
        <v>720.47589722475936</v>
      </c>
      <c r="I1566" s="14">
        <v>1564.1279490212444</v>
      </c>
      <c r="J1566" s="14">
        <v>1751.5880885273452</v>
      </c>
    </row>
    <row r="1567" spans="1:10" ht="15.75" x14ac:dyDescent="0.5">
      <c r="A1567" s="13" t="s">
        <v>324</v>
      </c>
      <c r="B1567" s="13" t="s">
        <v>418</v>
      </c>
      <c r="C1567" s="13" t="s">
        <v>400</v>
      </c>
      <c r="D1567" s="14">
        <v>3.184175173101953</v>
      </c>
      <c r="E1567" s="14">
        <v>3.184175173101953</v>
      </c>
      <c r="F1567" s="14">
        <v>3.1841751731019534</v>
      </c>
      <c r="G1567" s="14">
        <v>3.1841751731019534</v>
      </c>
      <c r="H1567" s="14">
        <v>3.184175173101953</v>
      </c>
      <c r="I1567" s="14">
        <v>3.1841751731019539</v>
      </c>
      <c r="J1567" s="14">
        <v>3.1841751731019534</v>
      </c>
    </row>
    <row r="1568" spans="1:10" ht="15.75" x14ac:dyDescent="0.5">
      <c r="A1568" s="13" t="s">
        <v>324</v>
      </c>
      <c r="B1568" s="13" t="s">
        <v>419</v>
      </c>
      <c r="C1568" s="13" t="s">
        <v>400</v>
      </c>
      <c r="D1568" s="14">
        <v>0.54465920264079504</v>
      </c>
      <c r="E1568" s="14">
        <v>9.0946460813806578</v>
      </c>
      <c r="F1568" s="14">
        <v>16.725153729240706</v>
      </c>
      <c r="G1568" s="14">
        <v>20.740578677004336</v>
      </c>
      <c r="H1568" s="14">
        <v>41.829683304497166</v>
      </c>
      <c r="I1568" s="14">
        <v>90.308280455949955</v>
      </c>
      <c r="J1568" s="14">
        <v>102.99715219791626</v>
      </c>
    </row>
    <row r="1569" spans="1:10" ht="15.75" x14ac:dyDescent="0.5">
      <c r="A1569" s="13" t="s">
        <v>324</v>
      </c>
      <c r="B1569" s="13" t="s">
        <v>420</v>
      </c>
      <c r="C1569" s="13" t="s">
        <v>400</v>
      </c>
      <c r="D1569" s="14">
        <v>-13.987252957808376</v>
      </c>
      <c r="E1569" s="14">
        <v>-13.647566452325636</v>
      </c>
      <c r="F1569" s="14">
        <v>-13.026638645709536</v>
      </c>
      <c r="G1569" s="14">
        <v>-11.69390418487756</v>
      </c>
      <c r="H1569" s="14">
        <v>-14.532779819255385</v>
      </c>
      <c r="I1569" s="14">
        <v>-14.834198652064075</v>
      </c>
      <c r="J1569" s="14">
        <v>-18.392439425644405</v>
      </c>
    </row>
    <row r="1570" spans="1:10" ht="15.75" x14ac:dyDescent="0.5">
      <c r="A1570" s="13" t="s">
        <v>325</v>
      </c>
      <c r="B1570" s="13" t="s">
        <v>399</v>
      </c>
      <c r="C1570" s="13" t="s">
        <v>400</v>
      </c>
      <c r="D1570" s="14">
        <v>7.2499064625597907</v>
      </c>
      <c r="E1570" s="14">
        <v>4.2389343065693544E-2</v>
      </c>
      <c r="F1570" s="14">
        <v>0.51246000000000114</v>
      </c>
      <c r="G1570" s="14">
        <v>0.78288000000000169</v>
      </c>
      <c r="H1570" s="14">
        <v>0.32713410218978162</v>
      </c>
      <c r="I1570" s="14" t="s">
        <v>250</v>
      </c>
      <c r="J1570" s="14">
        <v>0.61633951434808409</v>
      </c>
    </row>
    <row r="1571" spans="1:10" ht="15.75" x14ac:dyDescent="0.5">
      <c r="A1571" s="13" t="s">
        <v>325</v>
      </c>
      <c r="B1571" s="13" t="s">
        <v>401</v>
      </c>
      <c r="C1571" s="13" t="s">
        <v>400</v>
      </c>
      <c r="D1571" s="14" t="s">
        <v>250</v>
      </c>
      <c r="E1571" s="14" t="s">
        <v>250</v>
      </c>
      <c r="F1571" s="14">
        <v>85.339595299404237</v>
      </c>
      <c r="G1571" s="14">
        <v>85.339595299404195</v>
      </c>
      <c r="H1571" s="14">
        <v>15.282259702740587</v>
      </c>
      <c r="I1571" s="14">
        <v>13.717604113230159</v>
      </c>
      <c r="J1571" s="14" t="s">
        <v>250</v>
      </c>
    </row>
    <row r="1572" spans="1:10" ht="15.75" x14ac:dyDescent="0.5">
      <c r="A1572" s="13" t="s">
        <v>325</v>
      </c>
      <c r="B1572" s="13" t="s">
        <v>402</v>
      </c>
      <c r="C1572" s="13" t="s">
        <v>400</v>
      </c>
      <c r="D1572" s="14">
        <v>1072.9916742877467</v>
      </c>
      <c r="E1572" s="14">
        <v>275.79371378785902</v>
      </c>
      <c r="F1572" s="14">
        <v>147.11732958657862</v>
      </c>
      <c r="G1572" s="14">
        <v>145.60351042661765</v>
      </c>
      <c r="H1572" s="14">
        <v>127.65588240733297</v>
      </c>
      <c r="I1572" s="14">
        <v>89.326711528991581</v>
      </c>
      <c r="J1572" s="14">
        <v>73.329068602535244</v>
      </c>
    </row>
    <row r="1573" spans="1:10" ht="15.75" x14ac:dyDescent="0.5">
      <c r="A1573" s="13" t="s">
        <v>325</v>
      </c>
      <c r="B1573" s="13" t="s">
        <v>403</v>
      </c>
      <c r="C1573" s="13" t="s">
        <v>400</v>
      </c>
      <c r="D1573" s="14" t="s">
        <v>250</v>
      </c>
      <c r="E1573" s="14" t="s">
        <v>250</v>
      </c>
      <c r="F1573" s="14">
        <v>46.391707866317745</v>
      </c>
      <c r="G1573" s="14">
        <v>46.391707866317724</v>
      </c>
      <c r="H1573" s="14">
        <v>9.3919113640575009</v>
      </c>
      <c r="I1573" s="14">
        <v>9.3919113640575027</v>
      </c>
      <c r="J1573" s="14" t="s">
        <v>250</v>
      </c>
    </row>
    <row r="1574" spans="1:10" ht="15.75" x14ac:dyDescent="0.5">
      <c r="A1574" s="13" t="s">
        <v>325</v>
      </c>
      <c r="B1574" s="13" t="s">
        <v>404</v>
      </c>
      <c r="C1574" s="13" t="s">
        <v>400</v>
      </c>
      <c r="D1574" s="14" t="s">
        <v>250</v>
      </c>
      <c r="E1574" s="14" t="s">
        <v>250</v>
      </c>
      <c r="F1574" s="14" t="s">
        <v>250</v>
      </c>
      <c r="G1574" s="14" t="s">
        <v>250</v>
      </c>
      <c r="H1574" s="14" t="s">
        <v>250</v>
      </c>
      <c r="I1574" s="14">
        <v>0.3306989691452854</v>
      </c>
      <c r="J1574" s="14">
        <v>0.33069896914528535</v>
      </c>
    </row>
    <row r="1575" spans="1:10" ht="15.75" x14ac:dyDescent="0.5">
      <c r="A1575" s="13" t="s">
        <v>325</v>
      </c>
      <c r="B1575" s="13" t="s">
        <v>405</v>
      </c>
      <c r="C1575" s="13" t="s">
        <v>400</v>
      </c>
      <c r="D1575" s="14">
        <v>1259.389129088994</v>
      </c>
      <c r="E1575" s="14">
        <v>1480.7834683513133</v>
      </c>
      <c r="F1575" s="14">
        <v>1686.0635023818745</v>
      </c>
      <c r="G1575" s="14">
        <v>2406.8991961550105</v>
      </c>
      <c r="H1575" s="14">
        <v>3118.8605229251184</v>
      </c>
      <c r="I1575" s="14">
        <v>3004.3051481932534</v>
      </c>
      <c r="J1575" s="14">
        <v>3423.9228969001724</v>
      </c>
    </row>
    <row r="1576" spans="1:10" ht="15.75" x14ac:dyDescent="0.5">
      <c r="A1576" s="13" t="s">
        <v>325</v>
      </c>
      <c r="B1576" s="13" t="s">
        <v>406</v>
      </c>
      <c r="C1576" s="13" t="s">
        <v>400</v>
      </c>
      <c r="D1576" s="14">
        <v>23.479196814299328</v>
      </c>
      <c r="E1576" s="14">
        <v>28.922478685326812</v>
      </c>
      <c r="F1576" s="14">
        <v>42.661965283513013</v>
      </c>
      <c r="G1576" s="14">
        <v>43.446284383715565</v>
      </c>
      <c r="H1576" s="14">
        <v>43.955916778904324</v>
      </c>
      <c r="I1576" s="14">
        <v>45.631319008543677</v>
      </c>
      <c r="J1576" s="14">
        <v>45.380949814677727</v>
      </c>
    </row>
    <row r="1577" spans="1:10" ht="15.75" x14ac:dyDescent="0.5">
      <c r="A1577" s="13" t="s">
        <v>325</v>
      </c>
      <c r="B1577" s="13" t="s">
        <v>407</v>
      </c>
      <c r="C1577" s="13" t="s">
        <v>400</v>
      </c>
      <c r="D1577" s="14" t="s">
        <v>250</v>
      </c>
      <c r="E1577" s="14">
        <v>95.083151513987048</v>
      </c>
      <c r="F1577" s="14">
        <v>43.209495356774539</v>
      </c>
      <c r="G1577" s="14">
        <v>93.941255579593459</v>
      </c>
      <c r="H1577" s="14">
        <v>61.485855639970353</v>
      </c>
      <c r="I1577" s="14">
        <v>13.360526033105049</v>
      </c>
      <c r="J1577" s="14">
        <v>30.333292618219623</v>
      </c>
    </row>
    <row r="1578" spans="1:10" ht="15.75" x14ac:dyDescent="0.5">
      <c r="A1578" s="13" t="s">
        <v>325</v>
      </c>
      <c r="B1578" s="13" t="s">
        <v>408</v>
      </c>
      <c r="C1578" s="13" t="s">
        <v>400</v>
      </c>
      <c r="D1578" s="14">
        <v>46.892290321001227</v>
      </c>
      <c r="E1578" s="14">
        <v>30.031515940180597</v>
      </c>
      <c r="F1578" s="14">
        <v>22.743946834345302</v>
      </c>
      <c r="G1578" s="14">
        <v>27.909172405588059</v>
      </c>
      <c r="H1578" s="14">
        <v>27.162737521444903</v>
      </c>
      <c r="I1578" s="14">
        <v>25.76818065784822</v>
      </c>
      <c r="J1578" s="14">
        <v>27.233138137876683</v>
      </c>
    </row>
    <row r="1579" spans="1:10" ht="15.75" x14ac:dyDescent="0.5">
      <c r="A1579" s="13" t="s">
        <v>325</v>
      </c>
      <c r="B1579" s="13" t="s">
        <v>409</v>
      </c>
      <c r="C1579" s="13" t="s">
        <v>400</v>
      </c>
      <c r="D1579" s="14">
        <v>18.365704270000037</v>
      </c>
      <c r="E1579" s="14">
        <v>18.365704270000034</v>
      </c>
      <c r="F1579" s="14">
        <v>18.36570427000003</v>
      </c>
      <c r="G1579" s="14">
        <v>18.365704270000037</v>
      </c>
      <c r="H1579" s="14">
        <v>18.365704270000034</v>
      </c>
      <c r="I1579" s="14">
        <v>18.36570427000003</v>
      </c>
      <c r="J1579" s="14">
        <v>18.365704270000034</v>
      </c>
    </row>
    <row r="1580" spans="1:10" ht="15.75" x14ac:dyDescent="0.5">
      <c r="A1580" s="13" t="s">
        <v>325</v>
      </c>
      <c r="B1580" s="13" t="s">
        <v>410</v>
      </c>
      <c r="C1580" s="13" t="s">
        <v>400</v>
      </c>
      <c r="D1580" s="14">
        <v>245.79356253202212</v>
      </c>
      <c r="E1580" s="14">
        <v>245.14692231690523</v>
      </c>
      <c r="F1580" s="14">
        <v>245.75030805041294</v>
      </c>
      <c r="G1580" s="14">
        <v>245.97721200250604</v>
      </c>
      <c r="H1580" s="14">
        <v>246.1497423647487</v>
      </c>
      <c r="I1580" s="14">
        <v>246.02018729789322</v>
      </c>
      <c r="J1580" s="14">
        <v>246.05206185095054</v>
      </c>
    </row>
    <row r="1581" spans="1:10" ht="15.75" x14ac:dyDescent="0.5">
      <c r="A1581" s="13" t="s">
        <v>325</v>
      </c>
      <c r="B1581" s="13" t="s">
        <v>411</v>
      </c>
      <c r="C1581" s="13" t="s">
        <v>400</v>
      </c>
      <c r="D1581" s="14">
        <v>7.1394000000000188</v>
      </c>
      <c r="E1581" s="14">
        <v>3.5593489051094989</v>
      </c>
      <c r="F1581" s="14" t="s">
        <v>250</v>
      </c>
      <c r="G1581" s="14" t="s">
        <v>250</v>
      </c>
      <c r="H1581" s="14" t="s">
        <v>250</v>
      </c>
      <c r="I1581" s="14" t="s">
        <v>250</v>
      </c>
      <c r="J1581" s="14" t="s">
        <v>250</v>
      </c>
    </row>
    <row r="1582" spans="1:10" ht="15.75" x14ac:dyDescent="0.5">
      <c r="A1582" s="13" t="s">
        <v>325</v>
      </c>
      <c r="B1582" s="13" t="s">
        <v>412</v>
      </c>
      <c r="C1582" s="13" t="s">
        <v>400</v>
      </c>
      <c r="D1582" s="14">
        <v>760.72545968400175</v>
      </c>
      <c r="E1582" s="14">
        <v>745.23408905262977</v>
      </c>
      <c r="F1582" s="14">
        <v>500.82488537264231</v>
      </c>
      <c r="G1582" s="14">
        <v>546.03057409149835</v>
      </c>
      <c r="H1582" s="14">
        <v>549.5281396582219</v>
      </c>
      <c r="I1582" s="14">
        <v>461.93710420587263</v>
      </c>
      <c r="J1582" s="14">
        <v>372.15805890319501</v>
      </c>
    </row>
    <row r="1583" spans="1:10" ht="15.75" x14ac:dyDescent="0.5">
      <c r="A1583" s="13" t="s">
        <v>325</v>
      </c>
      <c r="B1583" s="13" t="s">
        <v>413</v>
      </c>
      <c r="C1583" s="13" t="s">
        <v>400</v>
      </c>
      <c r="D1583" s="14">
        <v>23.702927619886125</v>
      </c>
      <c r="E1583" s="14">
        <v>27.127791232284626</v>
      </c>
      <c r="F1583" s="14">
        <v>11.178643762344377</v>
      </c>
      <c r="G1583" s="14">
        <v>4.4795467153751405</v>
      </c>
      <c r="H1583" s="14">
        <v>2.290627544971592</v>
      </c>
      <c r="I1583" s="14">
        <v>1.3229209560685651</v>
      </c>
      <c r="J1583" s="14">
        <v>1.0797534989406721</v>
      </c>
    </row>
    <row r="1584" spans="1:10" ht="15.75" x14ac:dyDescent="0.5">
      <c r="A1584" s="13" t="s">
        <v>325</v>
      </c>
      <c r="B1584" s="13" t="s">
        <v>414</v>
      </c>
      <c r="C1584" s="13" t="s">
        <v>400</v>
      </c>
      <c r="D1584" s="14">
        <v>0.68039077051095009</v>
      </c>
      <c r="E1584" s="14">
        <v>24.091917177667675</v>
      </c>
      <c r="F1584" s="14">
        <v>94.593152863716355</v>
      </c>
      <c r="G1584" s="14">
        <v>188.50611808052932</v>
      </c>
      <c r="H1584" s="14">
        <v>228.10682952227981</v>
      </c>
      <c r="I1584" s="14">
        <v>228.68383776208935</v>
      </c>
      <c r="J1584" s="14">
        <v>229.09598650481095</v>
      </c>
    </row>
    <row r="1585" spans="1:10" ht="15.75" x14ac:dyDescent="0.5">
      <c r="A1585" s="13" t="s">
        <v>325</v>
      </c>
      <c r="B1585" s="13" t="s">
        <v>415</v>
      </c>
      <c r="C1585" s="13" t="s">
        <v>400</v>
      </c>
      <c r="D1585" s="14">
        <v>440.53124483255567</v>
      </c>
      <c r="E1585" s="14">
        <v>870.43097663985736</v>
      </c>
      <c r="F1585" s="14">
        <v>1355.4288820957372</v>
      </c>
      <c r="G1585" s="14">
        <v>1424.973310509806</v>
      </c>
      <c r="H1585" s="14">
        <v>1733.2204121878017</v>
      </c>
      <c r="I1585" s="14">
        <v>2206.7575822376311</v>
      </c>
      <c r="J1585" s="14">
        <v>2261.3218141801854</v>
      </c>
    </row>
    <row r="1586" spans="1:10" ht="15.75" x14ac:dyDescent="0.5">
      <c r="A1586" s="13" t="s">
        <v>325</v>
      </c>
      <c r="B1586" s="13" t="s">
        <v>416</v>
      </c>
      <c r="C1586" s="13" t="s">
        <v>400</v>
      </c>
      <c r="D1586" s="14" t="s">
        <v>250</v>
      </c>
      <c r="E1586" s="14">
        <v>54.174742594981005</v>
      </c>
      <c r="F1586" s="14">
        <v>66.675949052097494</v>
      </c>
      <c r="G1586" s="14">
        <v>76.801435170202055</v>
      </c>
      <c r="H1586" s="14">
        <v>77.990654991853702</v>
      </c>
      <c r="I1586" s="14">
        <v>82.683057309487666</v>
      </c>
      <c r="J1586" s="14">
        <v>94.727837483420913</v>
      </c>
    </row>
    <row r="1587" spans="1:10" ht="15.75" x14ac:dyDescent="0.5">
      <c r="A1587" s="13" t="s">
        <v>325</v>
      </c>
      <c r="B1587" s="13" t="s">
        <v>417</v>
      </c>
      <c r="C1587" s="13" t="s">
        <v>400</v>
      </c>
      <c r="D1587" s="14">
        <v>187.48709633408691</v>
      </c>
      <c r="E1587" s="14">
        <v>303.04243707946966</v>
      </c>
      <c r="F1587" s="14">
        <v>346.59751553653075</v>
      </c>
      <c r="G1587" s="14">
        <v>429.40997849966044</v>
      </c>
      <c r="H1587" s="14">
        <v>720.47590108463442</v>
      </c>
      <c r="I1587" s="14">
        <v>1564.1279502852756</v>
      </c>
      <c r="J1587" s="14">
        <v>1751.5880887006224</v>
      </c>
    </row>
    <row r="1588" spans="1:10" ht="15.75" x14ac:dyDescent="0.5">
      <c r="A1588" s="13" t="s">
        <v>325</v>
      </c>
      <c r="B1588" s="13" t="s">
        <v>418</v>
      </c>
      <c r="C1588" s="13" t="s">
        <v>400</v>
      </c>
      <c r="D1588" s="14">
        <v>3.184175173101953</v>
      </c>
      <c r="E1588" s="14">
        <v>3.1841751731019534</v>
      </c>
      <c r="F1588" s="14">
        <v>3.1841751731019534</v>
      </c>
      <c r="G1588" s="14">
        <v>3.1841751731019534</v>
      </c>
      <c r="H1588" s="14">
        <v>3.184175173101953</v>
      </c>
      <c r="I1588" s="14">
        <v>3.1841751731019534</v>
      </c>
      <c r="J1588" s="14">
        <v>3.1841751731019539</v>
      </c>
    </row>
    <row r="1589" spans="1:10" ht="15.75" x14ac:dyDescent="0.5">
      <c r="A1589" s="13" t="s">
        <v>325</v>
      </c>
      <c r="B1589" s="13" t="s">
        <v>419</v>
      </c>
      <c r="C1589" s="13" t="s">
        <v>400</v>
      </c>
      <c r="D1589" s="14">
        <v>0.54465920264079493</v>
      </c>
      <c r="E1589" s="14">
        <v>9.0946460767702515</v>
      </c>
      <c r="F1589" s="14">
        <v>16.725086623680959</v>
      </c>
      <c r="G1589" s="14">
        <v>20.743891486519207</v>
      </c>
      <c r="H1589" s="14">
        <v>41.829845291792687</v>
      </c>
      <c r="I1589" s="14">
        <v>90.308280497785049</v>
      </c>
      <c r="J1589" s="14">
        <v>102.99715160039078</v>
      </c>
    </row>
    <row r="1590" spans="1:10" ht="15.75" x14ac:dyDescent="0.5">
      <c r="A1590" s="13" t="s">
        <v>325</v>
      </c>
      <c r="B1590" s="13" t="s">
        <v>420</v>
      </c>
      <c r="C1590" s="13" t="s">
        <v>400</v>
      </c>
      <c r="D1590" s="14">
        <v>-13.987252957808337</v>
      </c>
      <c r="E1590" s="14">
        <v>-13.647566471736035</v>
      </c>
      <c r="F1590" s="14">
        <v>-13.037984013970025</v>
      </c>
      <c r="G1590" s="14">
        <v>-11.693904194707343</v>
      </c>
      <c r="H1590" s="14">
        <v>-14.53277980242442</v>
      </c>
      <c r="I1590" s="14">
        <v>-14.830755186030961</v>
      </c>
      <c r="J1590" s="14">
        <v>-18.392439376896384</v>
      </c>
    </row>
    <row r="1591" spans="1:10" ht="15.75" x14ac:dyDescent="0.5">
      <c r="A1591" s="13" t="s">
        <v>326</v>
      </c>
      <c r="B1591" s="13" t="s">
        <v>399</v>
      </c>
      <c r="C1591" s="13" t="s">
        <v>400</v>
      </c>
      <c r="D1591" s="14">
        <v>7.2499064625597889</v>
      </c>
      <c r="E1591" s="14">
        <v>4.2389343065693544E-2</v>
      </c>
      <c r="F1591" s="14">
        <v>0.51246000000000125</v>
      </c>
      <c r="G1591" s="14">
        <v>0.74721786012571401</v>
      </c>
      <c r="H1591" s="14">
        <v>0.31826238697552511</v>
      </c>
      <c r="I1591" s="14" t="s">
        <v>250</v>
      </c>
      <c r="J1591" s="14">
        <v>0.32761062226889476</v>
      </c>
    </row>
    <row r="1592" spans="1:10" ht="15.75" x14ac:dyDescent="0.5">
      <c r="A1592" s="13" t="s">
        <v>326</v>
      </c>
      <c r="B1592" s="13" t="s">
        <v>401</v>
      </c>
      <c r="C1592" s="13" t="s">
        <v>400</v>
      </c>
      <c r="D1592" s="14" t="s">
        <v>250</v>
      </c>
      <c r="E1592" s="14" t="s">
        <v>250</v>
      </c>
      <c r="F1592" s="14">
        <v>85.263496048433524</v>
      </c>
      <c r="G1592" s="14">
        <v>85.263496048433524</v>
      </c>
      <c r="H1592" s="14">
        <v>15.21873082345361</v>
      </c>
      <c r="I1592" s="14">
        <v>13.411064906955321</v>
      </c>
      <c r="J1592" s="14" t="s">
        <v>250</v>
      </c>
    </row>
    <row r="1593" spans="1:10" ht="15.75" x14ac:dyDescent="0.5">
      <c r="A1593" s="13" t="s">
        <v>326</v>
      </c>
      <c r="B1593" s="13" t="s">
        <v>402</v>
      </c>
      <c r="C1593" s="13" t="s">
        <v>400</v>
      </c>
      <c r="D1593" s="14">
        <v>1072.9916742877465</v>
      </c>
      <c r="E1593" s="14">
        <v>275.87107955865753</v>
      </c>
      <c r="F1593" s="14">
        <v>147.2747367291214</v>
      </c>
      <c r="G1593" s="14">
        <v>142.53265006930908</v>
      </c>
      <c r="H1593" s="14">
        <v>128.39318220492711</v>
      </c>
      <c r="I1593" s="14">
        <v>89.301886907430983</v>
      </c>
      <c r="J1593" s="14">
        <v>71.293813107014671</v>
      </c>
    </row>
    <row r="1594" spans="1:10" ht="15.75" x14ac:dyDescent="0.5">
      <c r="A1594" s="13" t="s">
        <v>326</v>
      </c>
      <c r="B1594" s="13" t="s">
        <v>403</v>
      </c>
      <c r="C1594" s="13" t="s">
        <v>400</v>
      </c>
      <c r="D1594" s="14" t="s">
        <v>250</v>
      </c>
      <c r="E1594" s="14" t="s">
        <v>250</v>
      </c>
      <c r="F1594" s="14">
        <v>45.898143736800662</v>
      </c>
      <c r="G1594" s="14">
        <v>45.898143736800684</v>
      </c>
      <c r="H1594" s="14">
        <v>9.2899353042399255</v>
      </c>
      <c r="I1594" s="14">
        <v>9.2899353042399273</v>
      </c>
      <c r="J1594" s="14" t="s">
        <v>250</v>
      </c>
    </row>
    <row r="1595" spans="1:10" ht="15.75" x14ac:dyDescent="0.5">
      <c r="A1595" s="13" t="s">
        <v>326</v>
      </c>
      <c r="B1595" s="13" t="s">
        <v>404</v>
      </c>
      <c r="C1595" s="13" t="s">
        <v>400</v>
      </c>
      <c r="D1595" s="14" t="s">
        <v>250</v>
      </c>
      <c r="E1595" s="14" t="s">
        <v>250</v>
      </c>
      <c r="F1595" s="14" t="s">
        <v>250</v>
      </c>
      <c r="G1595" s="14" t="s">
        <v>250</v>
      </c>
      <c r="H1595" s="14" t="s">
        <v>250</v>
      </c>
      <c r="I1595" s="14">
        <v>0.33069896914528535</v>
      </c>
      <c r="J1595" s="14">
        <v>0.33069896914528535</v>
      </c>
    </row>
    <row r="1596" spans="1:10" ht="15.75" x14ac:dyDescent="0.5">
      <c r="A1596" s="13" t="s">
        <v>326</v>
      </c>
      <c r="B1596" s="13" t="s">
        <v>405</v>
      </c>
      <c r="C1596" s="13" t="s">
        <v>400</v>
      </c>
      <c r="D1596" s="14">
        <v>1259.3891290889937</v>
      </c>
      <c r="E1596" s="14">
        <v>1479.54272599615</v>
      </c>
      <c r="F1596" s="14">
        <v>1684.5004810507046</v>
      </c>
      <c r="G1596" s="14">
        <v>2406.1089602924849</v>
      </c>
      <c r="H1596" s="14">
        <v>3086.2599911507314</v>
      </c>
      <c r="I1596" s="14">
        <v>2897.7513306989345</v>
      </c>
      <c r="J1596" s="14">
        <v>3282.8038376860345</v>
      </c>
    </row>
    <row r="1597" spans="1:10" ht="15.75" x14ac:dyDescent="0.5">
      <c r="A1597" s="13" t="s">
        <v>326</v>
      </c>
      <c r="B1597" s="13" t="s">
        <v>406</v>
      </c>
      <c r="C1597" s="13" t="s">
        <v>400</v>
      </c>
      <c r="D1597" s="14">
        <v>23.479196814299328</v>
      </c>
      <c r="E1597" s="14">
        <v>29.068844471580398</v>
      </c>
      <c r="F1597" s="14">
        <v>42.625411225554096</v>
      </c>
      <c r="G1597" s="14">
        <v>43.407794860125748</v>
      </c>
      <c r="H1597" s="14">
        <v>44.905681795829956</v>
      </c>
      <c r="I1597" s="14">
        <v>47.7529352541994</v>
      </c>
      <c r="J1597" s="14">
        <v>49.233157433099322</v>
      </c>
    </row>
    <row r="1598" spans="1:10" ht="15.75" x14ac:dyDescent="0.5">
      <c r="A1598" s="13" t="s">
        <v>326</v>
      </c>
      <c r="B1598" s="13" t="s">
        <v>407</v>
      </c>
      <c r="C1598" s="13" t="s">
        <v>400</v>
      </c>
      <c r="D1598" s="14" t="s">
        <v>250</v>
      </c>
      <c r="E1598" s="14">
        <v>95.063664125792045</v>
      </c>
      <c r="F1598" s="14">
        <v>41.725262224610717</v>
      </c>
      <c r="G1598" s="14">
        <v>92.538474616089701</v>
      </c>
      <c r="H1598" s="14">
        <v>55.367043727547312</v>
      </c>
      <c r="I1598" s="14">
        <v>10.408356481481496</v>
      </c>
      <c r="J1598" s="14">
        <v>21.511543175339945</v>
      </c>
    </row>
    <row r="1599" spans="1:10" ht="15.75" x14ac:dyDescent="0.5">
      <c r="A1599" s="13" t="s">
        <v>326</v>
      </c>
      <c r="B1599" s="13" t="s">
        <v>408</v>
      </c>
      <c r="C1599" s="13" t="s">
        <v>400</v>
      </c>
      <c r="D1599" s="14">
        <v>46.892290321001219</v>
      </c>
      <c r="E1599" s="14">
        <v>30.031515940180608</v>
      </c>
      <c r="F1599" s="14">
        <v>22.762386286103752</v>
      </c>
      <c r="G1599" s="14">
        <v>26.91049926220785</v>
      </c>
      <c r="H1599" s="14">
        <v>27.204557466279365</v>
      </c>
      <c r="I1599" s="14">
        <v>24.719029794509169</v>
      </c>
      <c r="J1599" s="14">
        <v>25.209912596923548</v>
      </c>
    </row>
    <row r="1600" spans="1:10" ht="15.75" x14ac:dyDescent="0.5">
      <c r="A1600" s="13" t="s">
        <v>326</v>
      </c>
      <c r="B1600" s="13" t="s">
        <v>409</v>
      </c>
      <c r="C1600" s="13" t="s">
        <v>400</v>
      </c>
      <c r="D1600" s="14">
        <v>18.36570427000003</v>
      </c>
      <c r="E1600" s="14">
        <v>18.365704270000037</v>
      </c>
      <c r="F1600" s="14">
        <v>18.365704270000027</v>
      </c>
      <c r="G1600" s="14">
        <v>18.36570427000003</v>
      </c>
      <c r="H1600" s="14">
        <v>18.365704270000034</v>
      </c>
      <c r="I1600" s="14">
        <v>18.365704270000037</v>
      </c>
      <c r="J1600" s="14">
        <v>18.365704270000034</v>
      </c>
    </row>
    <row r="1601" spans="1:10" ht="15.75" x14ac:dyDescent="0.5">
      <c r="A1601" s="13" t="s">
        <v>326</v>
      </c>
      <c r="B1601" s="13" t="s">
        <v>410</v>
      </c>
      <c r="C1601" s="13" t="s">
        <v>400</v>
      </c>
      <c r="D1601" s="14">
        <v>245.79356253202209</v>
      </c>
      <c r="E1601" s="14">
        <v>245.14451920676052</v>
      </c>
      <c r="F1601" s="14">
        <v>245.75030805041288</v>
      </c>
      <c r="G1601" s="14">
        <v>246.14973280241287</v>
      </c>
      <c r="H1601" s="14">
        <v>246.14974236474862</v>
      </c>
      <c r="I1601" s="14">
        <v>245.98395500300839</v>
      </c>
      <c r="J1601" s="14">
        <v>246.03358211698674</v>
      </c>
    </row>
    <row r="1602" spans="1:10" ht="15.75" x14ac:dyDescent="0.5">
      <c r="A1602" s="13" t="s">
        <v>326</v>
      </c>
      <c r="B1602" s="13" t="s">
        <v>411</v>
      </c>
      <c r="C1602" s="13" t="s">
        <v>400</v>
      </c>
      <c r="D1602" s="14">
        <v>7.1394000000000197</v>
      </c>
      <c r="E1602" s="14">
        <v>3.559348905109498</v>
      </c>
      <c r="F1602" s="14" t="s">
        <v>250</v>
      </c>
      <c r="G1602" s="14" t="s">
        <v>250</v>
      </c>
      <c r="H1602" s="14" t="s">
        <v>250</v>
      </c>
      <c r="I1602" s="14" t="s">
        <v>250</v>
      </c>
      <c r="J1602" s="14" t="s">
        <v>250</v>
      </c>
    </row>
    <row r="1603" spans="1:10" ht="15.75" x14ac:dyDescent="0.5">
      <c r="A1603" s="13" t="s">
        <v>326</v>
      </c>
      <c r="B1603" s="13" t="s">
        <v>412</v>
      </c>
      <c r="C1603" s="13" t="s">
        <v>400</v>
      </c>
      <c r="D1603" s="14">
        <v>760.72545968400175</v>
      </c>
      <c r="E1603" s="14">
        <v>746.43429115836443</v>
      </c>
      <c r="F1603" s="14">
        <v>507.90186803391498</v>
      </c>
      <c r="G1603" s="14">
        <v>560.92965321569397</v>
      </c>
      <c r="H1603" s="14">
        <v>605.34996635970617</v>
      </c>
      <c r="I1603" s="14">
        <v>607.7034513704956</v>
      </c>
      <c r="J1603" s="14">
        <v>584.47574680345679</v>
      </c>
    </row>
    <row r="1604" spans="1:10" ht="15.75" x14ac:dyDescent="0.5">
      <c r="A1604" s="13" t="s">
        <v>326</v>
      </c>
      <c r="B1604" s="13" t="s">
        <v>413</v>
      </c>
      <c r="C1604" s="13" t="s">
        <v>400</v>
      </c>
      <c r="D1604" s="14">
        <v>23.70292761988614</v>
      </c>
      <c r="E1604" s="14">
        <v>27.02181456398052</v>
      </c>
      <c r="F1604" s="14">
        <v>11.066188828094308</v>
      </c>
      <c r="G1604" s="14">
        <v>4.5607861405403485</v>
      </c>
      <c r="H1604" s="14">
        <v>2.3989842413260885</v>
      </c>
      <c r="I1604" s="14">
        <v>1.2432658490336013</v>
      </c>
      <c r="J1604" s="14">
        <v>1.0790609095423296</v>
      </c>
    </row>
    <row r="1605" spans="1:10" ht="15.75" x14ac:dyDescent="0.5">
      <c r="A1605" s="13" t="s">
        <v>326</v>
      </c>
      <c r="B1605" s="13" t="s">
        <v>414</v>
      </c>
      <c r="C1605" s="13" t="s">
        <v>400</v>
      </c>
      <c r="D1605" s="14">
        <v>0.6803907705109502</v>
      </c>
      <c r="E1605" s="14">
        <v>24.091917177667671</v>
      </c>
      <c r="F1605" s="14">
        <v>94.59792496441608</v>
      </c>
      <c r="G1605" s="14">
        <v>188.51908664325933</v>
      </c>
      <c r="H1605" s="14">
        <v>228.11984686957172</v>
      </c>
      <c r="I1605" s="14">
        <v>228.69689305292943</v>
      </c>
      <c r="J1605" s="14">
        <v>229.10906889818557</v>
      </c>
    </row>
    <row r="1606" spans="1:10" ht="15.75" x14ac:dyDescent="0.5">
      <c r="A1606" s="13" t="s">
        <v>326</v>
      </c>
      <c r="B1606" s="13" t="s">
        <v>415</v>
      </c>
      <c r="C1606" s="13" t="s">
        <v>400</v>
      </c>
      <c r="D1606" s="14">
        <v>440.53124483255539</v>
      </c>
      <c r="E1606" s="14">
        <v>870.25819246830838</v>
      </c>
      <c r="F1606" s="14">
        <v>1351.6359936645995</v>
      </c>
      <c r="G1606" s="14">
        <v>1414.7865736070571</v>
      </c>
      <c r="H1606" s="14">
        <v>1720.2251543177456</v>
      </c>
      <c r="I1606" s="14">
        <v>2175.9410872271078</v>
      </c>
      <c r="J1606" s="14">
        <v>2202.389324364347</v>
      </c>
    </row>
    <row r="1607" spans="1:10" ht="15.75" x14ac:dyDescent="0.5">
      <c r="A1607" s="13" t="s">
        <v>326</v>
      </c>
      <c r="B1607" s="13" t="s">
        <v>416</v>
      </c>
      <c r="C1607" s="13" t="s">
        <v>400</v>
      </c>
      <c r="D1607" s="14" t="s">
        <v>250</v>
      </c>
      <c r="E1607" s="14">
        <v>54.174742594980991</v>
      </c>
      <c r="F1607" s="14">
        <v>66.675949052097494</v>
      </c>
      <c r="G1607" s="14">
        <v>76.801435170202097</v>
      </c>
      <c r="H1607" s="14">
        <v>77.990654991853702</v>
      </c>
      <c r="I1607" s="14">
        <v>82.683057309487623</v>
      </c>
      <c r="J1607" s="14">
        <v>94.727837483420927</v>
      </c>
    </row>
    <row r="1608" spans="1:10" ht="15.75" x14ac:dyDescent="0.5">
      <c r="A1608" s="13" t="s">
        <v>326</v>
      </c>
      <c r="B1608" s="13" t="s">
        <v>417</v>
      </c>
      <c r="C1608" s="13" t="s">
        <v>400</v>
      </c>
      <c r="D1608" s="14">
        <v>187.48709633408697</v>
      </c>
      <c r="E1608" s="14">
        <v>303.04243707946949</v>
      </c>
      <c r="F1608" s="14">
        <v>346.60898015433912</v>
      </c>
      <c r="G1608" s="14">
        <v>427.58865024936517</v>
      </c>
      <c r="H1608" s="14">
        <v>703.51546846148347</v>
      </c>
      <c r="I1608" s="14">
        <v>1522.3394667583248</v>
      </c>
      <c r="J1608" s="14">
        <v>1700.6766295022019</v>
      </c>
    </row>
    <row r="1609" spans="1:10" ht="15.75" x14ac:dyDescent="0.5">
      <c r="A1609" s="13" t="s">
        <v>326</v>
      </c>
      <c r="B1609" s="13" t="s">
        <v>418</v>
      </c>
      <c r="C1609" s="13" t="s">
        <v>400</v>
      </c>
      <c r="D1609" s="14">
        <v>3.1841751731019534</v>
      </c>
      <c r="E1609" s="14">
        <v>3.1841751731019534</v>
      </c>
      <c r="F1609" s="14">
        <v>3.1841751731019539</v>
      </c>
      <c r="G1609" s="14">
        <v>3.1841751731019534</v>
      </c>
      <c r="H1609" s="14">
        <v>3.184175173101953</v>
      </c>
      <c r="I1609" s="14">
        <v>3.184175173101953</v>
      </c>
      <c r="J1609" s="14">
        <v>3.1841751731019534</v>
      </c>
    </row>
    <row r="1610" spans="1:10" ht="15.75" x14ac:dyDescent="0.5">
      <c r="A1610" s="13" t="s">
        <v>326</v>
      </c>
      <c r="B1610" s="13" t="s">
        <v>419</v>
      </c>
      <c r="C1610" s="13" t="s">
        <v>400</v>
      </c>
      <c r="D1610" s="14">
        <v>0.54465920264079493</v>
      </c>
      <c r="E1610" s="14">
        <v>9.1917969062493796</v>
      </c>
      <c r="F1610" s="14">
        <v>16.937767765370609</v>
      </c>
      <c r="G1610" s="14">
        <v>21.566976469684086</v>
      </c>
      <c r="H1610" s="14">
        <v>39.635586670603963</v>
      </c>
      <c r="I1610" s="14">
        <v>84.071096122972477</v>
      </c>
      <c r="J1610" s="14">
        <v>96.879320020028388</v>
      </c>
    </row>
    <row r="1611" spans="1:10" ht="15.75" x14ac:dyDescent="0.5">
      <c r="A1611" s="13" t="s">
        <v>326</v>
      </c>
      <c r="B1611" s="13" t="s">
        <v>420</v>
      </c>
      <c r="C1611" s="13" t="s">
        <v>400</v>
      </c>
      <c r="D1611" s="14">
        <v>-13.987252957808366</v>
      </c>
      <c r="E1611" s="14">
        <v>-13.651555749657117</v>
      </c>
      <c r="F1611" s="14">
        <v>-13.045097105016676</v>
      </c>
      <c r="G1611" s="14">
        <v>-11.905859071453401</v>
      </c>
      <c r="H1611" s="14">
        <v>-14.472834560935979</v>
      </c>
      <c r="I1611" s="14">
        <v>-15.18068517313549</v>
      </c>
      <c r="J1611" s="14">
        <v>-17.715936347936122</v>
      </c>
    </row>
    <row r="1612" spans="1:10" ht="15.75" x14ac:dyDescent="0.5">
      <c r="A1612" s="13" t="s">
        <v>327</v>
      </c>
      <c r="B1612" s="13" t="s">
        <v>399</v>
      </c>
      <c r="C1612" s="13" t="s">
        <v>400</v>
      </c>
      <c r="D1612" s="14">
        <v>7.2499064625597889</v>
      </c>
      <c r="E1612" s="14">
        <v>4.2389343065693544E-2</v>
      </c>
      <c r="F1612" s="14">
        <v>0.51246000000000125</v>
      </c>
      <c r="G1612" s="14">
        <v>0.7828800000000018</v>
      </c>
      <c r="H1612" s="14">
        <v>0.32713410218978167</v>
      </c>
      <c r="I1612" s="14" t="s">
        <v>250</v>
      </c>
      <c r="J1612" s="14">
        <v>0.59807505579507936</v>
      </c>
    </row>
    <row r="1613" spans="1:10" ht="15.75" x14ac:dyDescent="0.5">
      <c r="A1613" s="13" t="s">
        <v>327</v>
      </c>
      <c r="B1613" s="13" t="s">
        <v>401</v>
      </c>
      <c r="C1613" s="13" t="s">
        <v>400</v>
      </c>
      <c r="D1613" s="14" t="s">
        <v>250</v>
      </c>
      <c r="E1613" s="14" t="s">
        <v>250</v>
      </c>
      <c r="F1613" s="14">
        <v>83.8812841729562</v>
      </c>
      <c r="G1613" s="14">
        <v>83.8812841729562</v>
      </c>
      <c r="H1613" s="14">
        <v>14.53970974379305</v>
      </c>
      <c r="I1613" s="14">
        <v>13.297223903409442</v>
      </c>
      <c r="J1613" s="14" t="s">
        <v>250</v>
      </c>
    </row>
    <row r="1614" spans="1:10" ht="15.75" x14ac:dyDescent="0.5">
      <c r="A1614" s="13" t="s">
        <v>327</v>
      </c>
      <c r="B1614" s="13" t="s">
        <v>402</v>
      </c>
      <c r="C1614" s="13" t="s">
        <v>400</v>
      </c>
      <c r="D1614" s="14">
        <v>1072.9916742877469</v>
      </c>
      <c r="E1614" s="14">
        <v>275.91678268682887</v>
      </c>
      <c r="F1614" s="14">
        <v>149.03291856287254</v>
      </c>
      <c r="G1614" s="14">
        <v>147.49265622316804</v>
      </c>
      <c r="H1614" s="14">
        <v>129.30908286455775</v>
      </c>
      <c r="I1614" s="14">
        <v>89.347683494286471</v>
      </c>
      <c r="J1614" s="14">
        <v>73.033997832998764</v>
      </c>
    </row>
    <row r="1615" spans="1:10" ht="15.75" x14ac:dyDescent="0.5">
      <c r="A1615" s="13" t="s">
        <v>327</v>
      </c>
      <c r="B1615" s="13" t="s">
        <v>403</v>
      </c>
      <c r="C1615" s="13" t="s">
        <v>400</v>
      </c>
      <c r="D1615" s="14" t="s">
        <v>250</v>
      </c>
      <c r="E1615" s="14" t="s">
        <v>250</v>
      </c>
      <c r="F1615" s="14">
        <v>38.557719926295377</v>
      </c>
      <c r="G1615" s="14">
        <v>38.557719926295405</v>
      </c>
      <c r="H1615" s="14">
        <v>7.7760430554186506</v>
      </c>
      <c r="I1615" s="14">
        <v>7.7760430554186506</v>
      </c>
      <c r="J1615" s="14" t="s">
        <v>250</v>
      </c>
    </row>
    <row r="1616" spans="1:10" ht="15.75" x14ac:dyDescent="0.5">
      <c r="A1616" s="13" t="s">
        <v>327</v>
      </c>
      <c r="B1616" s="13" t="s">
        <v>404</v>
      </c>
      <c r="C1616" s="13" t="s">
        <v>400</v>
      </c>
      <c r="D1616" s="14" t="s">
        <v>250</v>
      </c>
      <c r="E1616" s="14" t="s">
        <v>250</v>
      </c>
      <c r="F1616" s="14" t="s">
        <v>250</v>
      </c>
      <c r="G1616" s="14" t="s">
        <v>250</v>
      </c>
      <c r="H1616" s="14" t="s">
        <v>250</v>
      </c>
      <c r="I1616" s="14">
        <v>0.33069896914528535</v>
      </c>
      <c r="J1616" s="14">
        <v>0.33069896914528535</v>
      </c>
    </row>
    <row r="1617" spans="1:10" ht="15.75" x14ac:dyDescent="0.5">
      <c r="A1617" s="13" t="s">
        <v>327</v>
      </c>
      <c r="B1617" s="13" t="s">
        <v>421</v>
      </c>
      <c r="C1617" s="13" t="s">
        <v>400</v>
      </c>
      <c r="D1617" s="14" t="s">
        <v>250</v>
      </c>
      <c r="E1617" s="14" t="s">
        <v>250</v>
      </c>
      <c r="F1617" s="14" t="s">
        <v>250</v>
      </c>
      <c r="G1617" s="14">
        <v>37.230168766043448</v>
      </c>
      <c r="H1617" s="14">
        <v>100.35130955724969</v>
      </c>
      <c r="I1617" s="14">
        <v>100.35130955724969</v>
      </c>
      <c r="J1617" s="14">
        <v>24.630555568083569</v>
      </c>
    </row>
    <row r="1618" spans="1:10" ht="15.75" x14ac:dyDescent="0.5">
      <c r="A1618" s="13" t="s">
        <v>327</v>
      </c>
      <c r="B1618" s="13" t="s">
        <v>405</v>
      </c>
      <c r="C1618" s="13" t="s">
        <v>400</v>
      </c>
      <c r="D1618" s="14">
        <v>1259.3891290889951</v>
      </c>
      <c r="E1618" s="14">
        <v>1480.8228794292907</v>
      </c>
      <c r="F1618" s="14">
        <v>1692.7271610370835</v>
      </c>
      <c r="G1618" s="14">
        <v>2375.7775313860202</v>
      </c>
      <c r="H1618" s="14">
        <v>3015.0991743179979</v>
      </c>
      <c r="I1618" s="14">
        <v>2905.3925280087424</v>
      </c>
      <c r="J1618" s="14">
        <v>3395.9012189063055</v>
      </c>
    </row>
    <row r="1619" spans="1:10" ht="15.75" x14ac:dyDescent="0.5">
      <c r="A1619" s="13" t="s">
        <v>327</v>
      </c>
      <c r="B1619" s="13" t="s">
        <v>406</v>
      </c>
      <c r="C1619" s="13" t="s">
        <v>400</v>
      </c>
      <c r="D1619" s="14">
        <v>23.479196814299332</v>
      </c>
      <c r="E1619" s="14">
        <v>28.910894274526363</v>
      </c>
      <c r="F1619" s="14">
        <v>42.781940540367422</v>
      </c>
      <c r="G1619" s="14">
        <v>43.448745799613036</v>
      </c>
      <c r="H1619" s="14">
        <v>44.050895489974501</v>
      </c>
      <c r="I1619" s="14">
        <v>45.82049940566371</v>
      </c>
      <c r="J1619" s="14">
        <v>46.43498407492563</v>
      </c>
    </row>
    <row r="1620" spans="1:10" ht="15.75" x14ac:dyDescent="0.5">
      <c r="A1620" s="13" t="s">
        <v>327</v>
      </c>
      <c r="B1620" s="13" t="s">
        <v>407</v>
      </c>
      <c r="C1620" s="13" t="s">
        <v>400</v>
      </c>
      <c r="D1620" s="14" t="s">
        <v>250</v>
      </c>
      <c r="E1620" s="14">
        <v>95.003618480129376</v>
      </c>
      <c r="F1620" s="14">
        <v>43.266100632107126</v>
      </c>
      <c r="G1620" s="14">
        <v>94.752184415611694</v>
      </c>
      <c r="H1620" s="14">
        <v>61.644795726100227</v>
      </c>
      <c r="I1620" s="14">
        <v>13.338912037037058</v>
      </c>
      <c r="J1620" s="14">
        <v>31.589775015139377</v>
      </c>
    </row>
    <row r="1621" spans="1:10" ht="15.75" x14ac:dyDescent="0.5">
      <c r="A1621" s="13" t="s">
        <v>327</v>
      </c>
      <c r="B1621" s="13" t="s">
        <v>408</v>
      </c>
      <c r="C1621" s="13" t="s">
        <v>400</v>
      </c>
      <c r="D1621" s="14">
        <v>46.892290321001205</v>
      </c>
      <c r="E1621" s="14">
        <v>30.033174217552865</v>
      </c>
      <c r="F1621" s="14">
        <v>22.802629907349903</v>
      </c>
      <c r="G1621" s="14">
        <v>27.924479990242144</v>
      </c>
      <c r="H1621" s="14">
        <v>27.232332849735503</v>
      </c>
      <c r="I1621" s="14">
        <v>25.311943681529939</v>
      </c>
      <c r="J1621" s="14">
        <v>27.446898474138113</v>
      </c>
    </row>
    <row r="1622" spans="1:10" ht="15.75" x14ac:dyDescent="0.5">
      <c r="A1622" s="13" t="s">
        <v>327</v>
      </c>
      <c r="B1622" s="13" t="s">
        <v>409</v>
      </c>
      <c r="C1622" s="13" t="s">
        <v>400</v>
      </c>
      <c r="D1622" s="14">
        <v>18.365704270000037</v>
      </c>
      <c r="E1622" s="14">
        <v>18.365704270000034</v>
      </c>
      <c r="F1622" s="14">
        <v>18.365704270000023</v>
      </c>
      <c r="G1622" s="14">
        <v>18.36570427000003</v>
      </c>
      <c r="H1622" s="14">
        <v>18.36570427000003</v>
      </c>
      <c r="I1622" s="14">
        <v>18.365704270000037</v>
      </c>
      <c r="J1622" s="14">
        <v>18.365704270000037</v>
      </c>
    </row>
    <row r="1623" spans="1:10" ht="15.75" x14ac:dyDescent="0.5">
      <c r="A1623" s="13" t="s">
        <v>327</v>
      </c>
      <c r="B1623" s="13" t="s">
        <v>410</v>
      </c>
      <c r="C1623" s="13" t="s">
        <v>400</v>
      </c>
      <c r="D1623" s="14">
        <v>245.79356253202224</v>
      </c>
      <c r="E1623" s="14">
        <v>245.1479545742117</v>
      </c>
      <c r="F1623" s="14">
        <v>245.75030805041291</v>
      </c>
      <c r="G1623" s="14">
        <v>245.97410927107691</v>
      </c>
      <c r="H1623" s="14">
        <v>246.14974236474885</v>
      </c>
      <c r="I1623" s="14">
        <v>246.00448992792269</v>
      </c>
      <c r="J1623" s="14">
        <v>246.08753847325494</v>
      </c>
    </row>
    <row r="1624" spans="1:10" ht="15.75" x14ac:dyDescent="0.5">
      <c r="A1624" s="13" t="s">
        <v>327</v>
      </c>
      <c r="B1624" s="13" t="s">
        <v>411</v>
      </c>
      <c r="C1624" s="13" t="s">
        <v>400</v>
      </c>
      <c r="D1624" s="14">
        <v>7.1394000000000162</v>
      </c>
      <c r="E1624" s="14">
        <v>3.559348905109498</v>
      </c>
      <c r="F1624" s="14" t="s">
        <v>250</v>
      </c>
      <c r="G1624" s="14" t="s">
        <v>250</v>
      </c>
      <c r="H1624" s="14" t="s">
        <v>250</v>
      </c>
      <c r="I1624" s="14" t="s">
        <v>250</v>
      </c>
      <c r="J1624" s="14" t="s">
        <v>250</v>
      </c>
    </row>
    <row r="1625" spans="1:10" ht="15.75" x14ac:dyDescent="0.5">
      <c r="A1625" s="13" t="s">
        <v>327</v>
      </c>
      <c r="B1625" s="13" t="s">
        <v>412</v>
      </c>
      <c r="C1625" s="13" t="s">
        <v>400</v>
      </c>
      <c r="D1625" s="14">
        <v>760.72545968400186</v>
      </c>
      <c r="E1625" s="14">
        <v>745.22351951168866</v>
      </c>
      <c r="F1625" s="14">
        <v>501.30984790619232</v>
      </c>
      <c r="G1625" s="14">
        <v>546.54655450670407</v>
      </c>
      <c r="H1625" s="14">
        <v>550.16491352831713</v>
      </c>
      <c r="I1625" s="14">
        <v>463.14392140440361</v>
      </c>
      <c r="J1625" s="14">
        <v>373.17819313293182</v>
      </c>
    </row>
    <row r="1626" spans="1:10" ht="15.75" x14ac:dyDescent="0.5">
      <c r="A1626" s="13" t="s">
        <v>327</v>
      </c>
      <c r="B1626" s="13" t="s">
        <v>413</v>
      </c>
      <c r="C1626" s="13" t="s">
        <v>400</v>
      </c>
      <c r="D1626" s="14">
        <v>23.702927619886143</v>
      </c>
      <c r="E1626" s="14">
        <v>27.148168390649161</v>
      </c>
      <c r="F1626" s="14">
        <v>11.196697007047598</v>
      </c>
      <c r="G1626" s="14">
        <v>4.4974403040526187</v>
      </c>
      <c r="H1626" s="14">
        <v>2.2055567046901587</v>
      </c>
      <c r="I1626" s="14">
        <v>1.3274717012580424</v>
      </c>
      <c r="J1626" s="14">
        <v>1.0780060014037334</v>
      </c>
    </row>
    <row r="1627" spans="1:10" ht="15.75" x14ac:dyDescent="0.5">
      <c r="A1627" s="13" t="s">
        <v>327</v>
      </c>
      <c r="B1627" s="13" t="s">
        <v>414</v>
      </c>
      <c r="C1627" s="13" t="s">
        <v>400</v>
      </c>
      <c r="D1627" s="14">
        <v>0.6803907705109502</v>
      </c>
      <c r="E1627" s="14">
        <v>24.091917177667675</v>
      </c>
      <c r="F1627" s="14">
        <v>94.593207357926786</v>
      </c>
      <c r="G1627" s="14">
        <v>188.506266172875</v>
      </c>
      <c r="H1627" s="14">
        <v>228.1069781717126</v>
      </c>
      <c r="I1627" s="14">
        <v>228.68398684481218</v>
      </c>
      <c r="J1627" s="14">
        <v>229.09613589702673</v>
      </c>
    </row>
    <row r="1628" spans="1:10" ht="15.75" x14ac:dyDescent="0.5">
      <c r="A1628" s="13" t="s">
        <v>327</v>
      </c>
      <c r="B1628" s="13" t="s">
        <v>415</v>
      </c>
      <c r="C1628" s="13" t="s">
        <v>400</v>
      </c>
      <c r="D1628" s="14">
        <v>440.53124483255573</v>
      </c>
      <c r="E1628" s="14">
        <v>870.36783865014218</v>
      </c>
      <c r="F1628" s="14">
        <v>1355.3092074962719</v>
      </c>
      <c r="G1628" s="14">
        <v>1425.4809334732236</v>
      </c>
      <c r="H1628" s="14">
        <v>1734.3223301615628</v>
      </c>
      <c r="I1628" s="14">
        <v>2207.4528003389041</v>
      </c>
      <c r="J1628" s="14">
        <v>2261.4166275257126</v>
      </c>
    </row>
    <row r="1629" spans="1:10" ht="15.75" x14ac:dyDescent="0.5">
      <c r="A1629" s="13" t="s">
        <v>327</v>
      </c>
      <c r="B1629" s="13" t="s">
        <v>416</v>
      </c>
      <c r="C1629" s="13" t="s">
        <v>400</v>
      </c>
      <c r="D1629" s="14" t="s">
        <v>250</v>
      </c>
      <c r="E1629" s="14">
        <v>54.174742594980991</v>
      </c>
      <c r="F1629" s="14">
        <v>66.675949052097465</v>
      </c>
      <c r="G1629" s="14">
        <v>76.801435170202097</v>
      </c>
      <c r="H1629" s="14">
        <v>77.990654991853717</v>
      </c>
      <c r="I1629" s="14">
        <v>82.683057309487651</v>
      </c>
      <c r="J1629" s="14">
        <v>94.727837483420942</v>
      </c>
    </row>
    <row r="1630" spans="1:10" ht="15.75" x14ac:dyDescent="0.5">
      <c r="A1630" s="13" t="s">
        <v>327</v>
      </c>
      <c r="B1630" s="13" t="s">
        <v>417</v>
      </c>
      <c r="C1630" s="13" t="s">
        <v>400</v>
      </c>
      <c r="D1630" s="14">
        <v>187.48709633408686</v>
      </c>
      <c r="E1630" s="14">
        <v>303.04243707946961</v>
      </c>
      <c r="F1630" s="14">
        <v>346.61686504812428</v>
      </c>
      <c r="G1630" s="14">
        <v>428.71235149162254</v>
      </c>
      <c r="H1630" s="14">
        <v>722.28747377994421</v>
      </c>
      <c r="I1630" s="14">
        <v>1563.0780483989627</v>
      </c>
      <c r="J1630" s="14">
        <v>1749.5364956925159</v>
      </c>
    </row>
    <row r="1631" spans="1:10" ht="15.75" x14ac:dyDescent="0.5">
      <c r="A1631" s="13" t="s">
        <v>327</v>
      </c>
      <c r="B1631" s="13" t="s">
        <v>418</v>
      </c>
      <c r="C1631" s="13" t="s">
        <v>400</v>
      </c>
      <c r="D1631" s="14">
        <v>3.1841751731019534</v>
      </c>
      <c r="E1631" s="14">
        <v>3.1841751731019534</v>
      </c>
      <c r="F1631" s="14">
        <v>3.184175173101953</v>
      </c>
      <c r="G1631" s="14">
        <v>3.1841751731019534</v>
      </c>
      <c r="H1631" s="14">
        <v>3.1841751731019539</v>
      </c>
      <c r="I1631" s="14">
        <v>3.1841751731019534</v>
      </c>
      <c r="J1631" s="14">
        <v>3.1841751731019534</v>
      </c>
    </row>
    <row r="1632" spans="1:10" ht="15.75" x14ac:dyDescent="0.5">
      <c r="A1632" s="13" t="s">
        <v>327</v>
      </c>
      <c r="B1632" s="13" t="s">
        <v>419</v>
      </c>
      <c r="C1632" s="13" t="s">
        <v>400</v>
      </c>
      <c r="D1632" s="14">
        <v>0.54465920264079504</v>
      </c>
      <c r="E1632" s="14">
        <v>9.0744090514950937</v>
      </c>
      <c r="F1632" s="14">
        <v>16.69207190526193</v>
      </c>
      <c r="G1632" s="14">
        <v>20.77444667168665</v>
      </c>
      <c r="H1632" s="14">
        <v>42.100671649081967</v>
      </c>
      <c r="I1632" s="14">
        <v>89.809465912494787</v>
      </c>
      <c r="J1632" s="14">
        <v>101.6915819860196</v>
      </c>
    </row>
    <row r="1633" spans="1:10" ht="15.75" x14ac:dyDescent="0.5">
      <c r="A1633" s="13" t="s">
        <v>327</v>
      </c>
      <c r="B1633" s="13" t="s">
        <v>420</v>
      </c>
      <c r="C1633" s="13" t="s">
        <v>400</v>
      </c>
      <c r="D1633" s="14">
        <v>-13.987252957808362</v>
      </c>
      <c r="E1633" s="14">
        <v>-13.670355690258763</v>
      </c>
      <c r="F1633" s="14">
        <v>-13.025466550217725</v>
      </c>
      <c r="G1633" s="14">
        <v>-11.801700664053373</v>
      </c>
      <c r="H1633" s="14">
        <v>-14.466607411777751</v>
      </c>
      <c r="I1633" s="14">
        <v>-14.467069549967359</v>
      </c>
      <c r="J1633" s="14">
        <v>-18.136839042023759</v>
      </c>
    </row>
    <row r="1634" spans="1:10" ht="15.75" x14ac:dyDescent="0.5">
      <c r="A1634" s="13" t="s">
        <v>328</v>
      </c>
      <c r="B1634" s="13" t="s">
        <v>399</v>
      </c>
      <c r="C1634" s="13" t="s">
        <v>400</v>
      </c>
      <c r="D1634" s="14">
        <v>7.2499064625597898</v>
      </c>
      <c r="E1634" s="14">
        <v>4.2389343065693544E-2</v>
      </c>
      <c r="F1634" s="14">
        <v>0.51246000000000103</v>
      </c>
      <c r="G1634" s="14">
        <v>0.78288000000000169</v>
      </c>
      <c r="H1634" s="14">
        <v>0.32713410218978167</v>
      </c>
      <c r="I1634" s="14" t="s">
        <v>250</v>
      </c>
      <c r="J1634" s="14">
        <v>0.59807505579507936</v>
      </c>
    </row>
    <row r="1635" spans="1:10" ht="15.75" x14ac:dyDescent="0.5">
      <c r="A1635" s="13" t="s">
        <v>328</v>
      </c>
      <c r="B1635" s="13" t="s">
        <v>401</v>
      </c>
      <c r="C1635" s="13" t="s">
        <v>400</v>
      </c>
      <c r="D1635" s="14" t="s">
        <v>250</v>
      </c>
      <c r="E1635" s="14" t="s">
        <v>250</v>
      </c>
      <c r="F1635" s="14">
        <v>83.881284173012133</v>
      </c>
      <c r="G1635" s="14">
        <v>83.881284173012133</v>
      </c>
      <c r="H1635" s="14">
        <v>14.539709738723024</v>
      </c>
      <c r="I1635" s="14">
        <v>13.297223908211089</v>
      </c>
      <c r="J1635" s="14" t="s">
        <v>250</v>
      </c>
    </row>
    <row r="1636" spans="1:10" ht="15.75" x14ac:dyDescent="0.5">
      <c r="A1636" s="13" t="s">
        <v>328</v>
      </c>
      <c r="B1636" s="13" t="s">
        <v>402</v>
      </c>
      <c r="C1636" s="13" t="s">
        <v>400</v>
      </c>
      <c r="D1636" s="14">
        <v>1072.9916742877465</v>
      </c>
      <c r="E1636" s="14">
        <v>275.91678264151648</v>
      </c>
      <c r="F1636" s="14">
        <v>149.03291855128114</v>
      </c>
      <c r="G1636" s="14">
        <v>147.49265641862414</v>
      </c>
      <c r="H1636" s="14">
        <v>129.30908288781944</v>
      </c>
      <c r="I1636" s="14">
        <v>89.347683484001081</v>
      </c>
      <c r="J1636" s="14">
        <v>73.033997821514902</v>
      </c>
    </row>
    <row r="1637" spans="1:10" ht="15.75" x14ac:dyDescent="0.5">
      <c r="A1637" s="13" t="s">
        <v>328</v>
      </c>
      <c r="B1637" s="13" t="s">
        <v>403</v>
      </c>
      <c r="C1637" s="13" t="s">
        <v>400</v>
      </c>
      <c r="D1637" s="14" t="s">
        <v>250</v>
      </c>
      <c r="E1637" s="14" t="s">
        <v>250</v>
      </c>
      <c r="F1637" s="14">
        <v>38.557719926493576</v>
      </c>
      <c r="G1637" s="14">
        <v>38.557719926493576</v>
      </c>
      <c r="H1637" s="14">
        <v>7.7760430554595992</v>
      </c>
      <c r="I1637" s="14">
        <v>7.7760430554595974</v>
      </c>
      <c r="J1637" s="14" t="s">
        <v>250</v>
      </c>
    </row>
    <row r="1638" spans="1:10" ht="15.75" x14ac:dyDescent="0.5">
      <c r="A1638" s="13" t="s">
        <v>328</v>
      </c>
      <c r="B1638" s="13" t="s">
        <v>404</v>
      </c>
      <c r="C1638" s="13" t="s">
        <v>400</v>
      </c>
      <c r="D1638" s="14" t="s">
        <v>250</v>
      </c>
      <c r="E1638" s="14" t="s">
        <v>250</v>
      </c>
      <c r="F1638" s="14" t="s">
        <v>250</v>
      </c>
      <c r="G1638" s="14" t="s">
        <v>250</v>
      </c>
      <c r="H1638" s="14" t="s">
        <v>250</v>
      </c>
      <c r="I1638" s="14">
        <v>0.3306989691452854</v>
      </c>
      <c r="J1638" s="14">
        <v>0.33069896914528529</v>
      </c>
    </row>
    <row r="1639" spans="1:10" ht="15.75" x14ac:dyDescent="0.5">
      <c r="A1639" s="13" t="s">
        <v>328</v>
      </c>
      <c r="B1639" s="13" t="s">
        <v>421</v>
      </c>
      <c r="C1639" s="13" t="s">
        <v>400</v>
      </c>
      <c r="D1639" s="14" t="s">
        <v>250</v>
      </c>
      <c r="E1639" s="14" t="s">
        <v>250</v>
      </c>
      <c r="F1639" s="14" t="s">
        <v>250</v>
      </c>
      <c r="G1639" s="14">
        <v>37.23016877035451</v>
      </c>
      <c r="H1639" s="14">
        <v>100.35130956886988</v>
      </c>
      <c r="I1639" s="14">
        <v>100.35130956886894</v>
      </c>
      <c r="J1639" s="14">
        <v>24.630555551786145</v>
      </c>
    </row>
    <row r="1640" spans="1:10" ht="15.75" x14ac:dyDescent="0.5">
      <c r="A1640" s="13" t="s">
        <v>328</v>
      </c>
      <c r="B1640" s="13" t="s">
        <v>405</v>
      </c>
      <c r="C1640" s="13" t="s">
        <v>400</v>
      </c>
      <c r="D1640" s="14">
        <v>1259.3891290889947</v>
      </c>
      <c r="E1640" s="14">
        <v>1480.8228795069781</v>
      </c>
      <c r="F1640" s="14">
        <v>1692.7271612672453</v>
      </c>
      <c r="G1640" s="14">
        <v>2375.7775313963552</v>
      </c>
      <c r="H1640" s="14">
        <v>3015.0991743050276</v>
      </c>
      <c r="I1640" s="14">
        <v>2905.3925283588105</v>
      </c>
      <c r="J1640" s="14">
        <v>3395.9012193244826</v>
      </c>
    </row>
    <row r="1641" spans="1:10" ht="15.75" x14ac:dyDescent="0.5">
      <c r="A1641" s="13" t="s">
        <v>328</v>
      </c>
      <c r="B1641" s="13" t="s">
        <v>406</v>
      </c>
      <c r="C1641" s="13" t="s">
        <v>400</v>
      </c>
      <c r="D1641" s="14">
        <v>23.479196814299332</v>
      </c>
      <c r="E1641" s="14">
        <v>28.910894276376865</v>
      </c>
      <c r="F1641" s="14">
        <v>42.781940549961895</v>
      </c>
      <c r="G1641" s="14">
        <v>43.448745800386746</v>
      </c>
      <c r="H1641" s="14">
        <v>44.050895484854983</v>
      </c>
      <c r="I1641" s="14">
        <v>45.820499351395533</v>
      </c>
      <c r="J1641" s="14">
        <v>46.434984025137517</v>
      </c>
    </row>
    <row r="1642" spans="1:10" ht="15.75" x14ac:dyDescent="0.5">
      <c r="A1642" s="13" t="s">
        <v>328</v>
      </c>
      <c r="B1642" s="13" t="s">
        <v>407</v>
      </c>
      <c r="C1642" s="13" t="s">
        <v>400</v>
      </c>
      <c r="D1642" s="14" t="s">
        <v>250</v>
      </c>
      <c r="E1642" s="14">
        <v>95.003618464727865</v>
      </c>
      <c r="F1642" s="14">
        <v>43.26610060622756</v>
      </c>
      <c r="G1642" s="14">
        <v>94.752184390005297</v>
      </c>
      <c r="H1642" s="14">
        <v>61.644795731832332</v>
      </c>
      <c r="I1642" s="14">
        <v>13.338912037037057</v>
      </c>
      <c r="J1642" s="14">
        <v>31.589774972409106</v>
      </c>
    </row>
    <row r="1643" spans="1:10" ht="15.75" x14ac:dyDescent="0.5">
      <c r="A1643" s="13" t="s">
        <v>328</v>
      </c>
      <c r="B1643" s="13" t="s">
        <v>408</v>
      </c>
      <c r="C1643" s="13" t="s">
        <v>400</v>
      </c>
      <c r="D1643" s="14">
        <v>46.892290321001227</v>
      </c>
      <c r="E1643" s="14">
        <v>30.033174217552865</v>
      </c>
      <c r="F1643" s="14">
        <v>22.802629912240487</v>
      </c>
      <c r="G1643" s="14">
        <v>27.924479991693936</v>
      </c>
      <c r="H1643" s="14">
        <v>27.232332842627699</v>
      </c>
      <c r="I1643" s="14">
        <v>25.311943649029804</v>
      </c>
      <c r="J1643" s="14">
        <v>27.446898413752418</v>
      </c>
    </row>
    <row r="1644" spans="1:10" ht="15.75" x14ac:dyDescent="0.5">
      <c r="A1644" s="13" t="s">
        <v>328</v>
      </c>
      <c r="B1644" s="13" t="s">
        <v>409</v>
      </c>
      <c r="C1644" s="13" t="s">
        <v>400</v>
      </c>
      <c r="D1644" s="14">
        <v>18.365704270000037</v>
      </c>
      <c r="E1644" s="14">
        <v>18.365704270000034</v>
      </c>
      <c r="F1644" s="14">
        <v>18.365704270000037</v>
      </c>
      <c r="G1644" s="14">
        <v>18.365704270000034</v>
      </c>
      <c r="H1644" s="14">
        <v>18.36570427000003</v>
      </c>
      <c r="I1644" s="14">
        <v>18.365704270000037</v>
      </c>
      <c r="J1644" s="14">
        <v>18.365704270000034</v>
      </c>
    </row>
    <row r="1645" spans="1:10" ht="15.75" x14ac:dyDescent="0.5">
      <c r="A1645" s="13" t="s">
        <v>328</v>
      </c>
      <c r="B1645" s="13" t="s">
        <v>410</v>
      </c>
      <c r="C1645" s="13" t="s">
        <v>400</v>
      </c>
      <c r="D1645" s="14">
        <v>245.79356253202221</v>
      </c>
      <c r="E1645" s="14">
        <v>245.14795457514211</v>
      </c>
      <c r="F1645" s="14">
        <v>245.75030805041288</v>
      </c>
      <c r="G1645" s="14">
        <v>245.97410927107694</v>
      </c>
      <c r="H1645" s="14">
        <v>246.14974236474879</v>
      </c>
      <c r="I1645" s="14">
        <v>246.00448992035609</v>
      </c>
      <c r="J1645" s="14">
        <v>246.0875384723515</v>
      </c>
    </row>
    <row r="1646" spans="1:10" ht="15.75" x14ac:dyDescent="0.5">
      <c r="A1646" s="13" t="s">
        <v>328</v>
      </c>
      <c r="B1646" s="13" t="s">
        <v>411</v>
      </c>
      <c r="C1646" s="13" t="s">
        <v>400</v>
      </c>
      <c r="D1646" s="14">
        <v>7.1394000000000171</v>
      </c>
      <c r="E1646" s="14">
        <v>3.559348905109498</v>
      </c>
      <c r="F1646" s="14" t="s">
        <v>250</v>
      </c>
      <c r="G1646" s="14" t="s">
        <v>250</v>
      </c>
      <c r="H1646" s="14" t="s">
        <v>250</v>
      </c>
      <c r="I1646" s="14" t="s">
        <v>250</v>
      </c>
      <c r="J1646" s="14" t="s">
        <v>250</v>
      </c>
    </row>
    <row r="1647" spans="1:10" ht="15.75" x14ac:dyDescent="0.5">
      <c r="A1647" s="13" t="s">
        <v>328</v>
      </c>
      <c r="B1647" s="13" t="s">
        <v>412</v>
      </c>
      <c r="C1647" s="13" t="s">
        <v>400</v>
      </c>
      <c r="D1647" s="14">
        <v>760.72545968400175</v>
      </c>
      <c r="E1647" s="14">
        <v>745.22351953649616</v>
      </c>
      <c r="F1647" s="14">
        <v>501.30984791360652</v>
      </c>
      <c r="G1647" s="14">
        <v>546.54655449777454</v>
      </c>
      <c r="H1647" s="14">
        <v>550.1649135238689</v>
      </c>
      <c r="I1647" s="14">
        <v>463.14392139244319</v>
      </c>
      <c r="J1647" s="14">
        <v>373.17819310249433</v>
      </c>
    </row>
    <row r="1648" spans="1:10" ht="15.75" x14ac:dyDescent="0.5">
      <c r="A1648" s="13" t="s">
        <v>328</v>
      </c>
      <c r="B1648" s="13" t="s">
        <v>413</v>
      </c>
      <c r="C1648" s="13" t="s">
        <v>400</v>
      </c>
      <c r="D1648" s="14">
        <v>23.70292761988614</v>
      </c>
      <c r="E1648" s="14">
        <v>27.148168401339841</v>
      </c>
      <c r="F1648" s="14">
        <v>11.196697006969194</v>
      </c>
      <c r="G1648" s="14">
        <v>4.4974403066896356</v>
      </c>
      <c r="H1648" s="14">
        <v>2.2055567100586</v>
      </c>
      <c r="I1648" s="14">
        <v>1.3274717018205302</v>
      </c>
      <c r="J1648" s="14">
        <v>1.0780060013144179</v>
      </c>
    </row>
    <row r="1649" spans="1:10" ht="15.75" x14ac:dyDescent="0.5">
      <c r="A1649" s="13" t="s">
        <v>328</v>
      </c>
      <c r="B1649" s="13" t="s">
        <v>414</v>
      </c>
      <c r="C1649" s="13" t="s">
        <v>400</v>
      </c>
      <c r="D1649" s="14">
        <v>0.68039077051095032</v>
      </c>
      <c r="E1649" s="14">
        <v>24.091917134602124</v>
      </c>
      <c r="F1649" s="14">
        <v>94.59320717152336</v>
      </c>
      <c r="G1649" s="14">
        <v>188.5062659849398</v>
      </c>
      <c r="H1649" s="14">
        <v>228.10697798307046</v>
      </c>
      <c r="I1649" s="14">
        <v>228.68398665562015</v>
      </c>
      <c r="J1649" s="14">
        <v>229.09613570744193</v>
      </c>
    </row>
    <row r="1650" spans="1:10" ht="15.75" x14ac:dyDescent="0.5">
      <c r="A1650" s="13" t="s">
        <v>328</v>
      </c>
      <c r="B1650" s="13" t="s">
        <v>415</v>
      </c>
      <c r="C1650" s="13" t="s">
        <v>400</v>
      </c>
      <c r="D1650" s="14">
        <v>440.53124483255561</v>
      </c>
      <c r="E1650" s="14">
        <v>870.36783865014218</v>
      </c>
      <c r="F1650" s="14">
        <v>1355.3092074879673</v>
      </c>
      <c r="G1650" s="14">
        <v>1425.4809334691611</v>
      </c>
      <c r="H1650" s="14">
        <v>1734.3223302310828</v>
      </c>
      <c r="I1650" s="14">
        <v>2207.4528004870563</v>
      </c>
      <c r="J1650" s="14">
        <v>2261.4166276849755</v>
      </c>
    </row>
    <row r="1651" spans="1:10" ht="15.75" x14ac:dyDescent="0.5">
      <c r="A1651" s="13" t="s">
        <v>328</v>
      </c>
      <c r="B1651" s="13" t="s">
        <v>416</v>
      </c>
      <c r="C1651" s="13" t="s">
        <v>400</v>
      </c>
      <c r="D1651" s="14" t="s">
        <v>250</v>
      </c>
      <c r="E1651" s="14">
        <v>54.174742594980984</v>
      </c>
      <c r="F1651" s="14">
        <v>66.675949052097465</v>
      </c>
      <c r="G1651" s="14">
        <v>76.80143517020214</v>
      </c>
      <c r="H1651" s="14">
        <v>77.990654991853688</v>
      </c>
      <c r="I1651" s="14">
        <v>82.683057309487666</v>
      </c>
      <c r="J1651" s="14">
        <v>94.727837483420956</v>
      </c>
    </row>
    <row r="1652" spans="1:10" ht="15.75" x14ac:dyDescent="0.5">
      <c r="A1652" s="13" t="s">
        <v>328</v>
      </c>
      <c r="B1652" s="13" t="s">
        <v>417</v>
      </c>
      <c r="C1652" s="13" t="s">
        <v>400</v>
      </c>
      <c r="D1652" s="14">
        <v>187.48709633408691</v>
      </c>
      <c r="E1652" s="14">
        <v>303.04243707946949</v>
      </c>
      <c r="F1652" s="14">
        <v>346.61686504839236</v>
      </c>
      <c r="G1652" s="14">
        <v>428.71235149240164</v>
      </c>
      <c r="H1652" s="14">
        <v>722.28747393904837</v>
      </c>
      <c r="I1652" s="14">
        <v>1563.0780481885997</v>
      </c>
      <c r="J1652" s="14">
        <v>1749.5364953766057</v>
      </c>
    </row>
    <row r="1653" spans="1:10" ht="15.75" x14ac:dyDescent="0.5">
      <c r="A1653" s="13" t="s">
        <v>328</v>
      </c>
      <c r="B1653" s="13" t="s">
        <v>418</v>
      </c>
      <c r="C1653" s="13" t="s">
        <v>400</v>
      </c>
      <c r="D1653" s="14">
        <v>3.184175173101953</v>
      </c>
      <c r="E1653" s="14">
        <v>3.1841751731019539</v>
      </c>
      <c r="F1653" s="14">
        <v>3.1841751731019534</v>
      </c>
      <c r="G1653" s="14">
        <v>3.184175173101953</v>
      </c>
      <c r="H1653" s="14">
        <v>3.1841751731019534</v>
      </c>
      <c r="I1653" s="14">
        <v>3.1841751731019534</v>
      </c>
      <c r="J1653" s="14">
        <v>3.1841751731019539</v>
      </c>
    </row>
    <row r="1654" spans="1:10" ht="15.75" x14ac:dyDescent="0.5">
      <c r="A1654" s="13" t="s">
        <v>328</v>
      </c>
      <c r="B1654" s="13" t="s">
        <v>419</v>
      </c>
      <c r="C1654" s="13" t="s">
        <v>400</v>
      </c>
      <c r="D1654" s="14">
        <v>0.54465920264079493</v>
      </c>
      <c r="E1654" s="14">
        <v>9.0744090388912149</v>
      </c>
      <c r="F1654" s="14">
        <v>16.692061529696357</v>
      </c>
      <c r="G1654" s="14">
        <v>20.774470048464622</v>
      </c>
      <c r="H1654" s="14">
        <v>42.100671617960295</v>
      </c>
      <c r="I1654" s="14">
        <v>89.809465779698058</v>
      </c>
      <c r="J1654" s="14">
        <v>101.69158196557287</v>
      </c>
    </row>
    <row r="1655" spans="1:10" ht="15.75" x14ac:dyDescent="0.5">
      <c r="A1655" s="13" t="s">
        <v>328</v>
      </c>
      <c r="B1655" s="13" t="s">
        <v>420</v>
      </c>
      <c r="C1655" s="13" t="s">
        <v>400</v>
      </c>
      <c r="D1655" s="14">
        <v>-13.987252957808387</v>
      </c>
      <c r="E1655" s="14">
        <v>-13.671806556698257</v>
      </c>
      <c r="F1655" s="14">
        <v>-13.017323174770009</v>
      </c>
      <c r="G1655" s="14">
        <v>-11.801008898186316</v>
      </c>
      <c r="H1655" s="14">
        <v>-14.466607417646674</v>
      </c>
      <c r="I1655" s="14">
        <v>-14.454797430013709</v>
      </c>
      <c r="J1655" s="14">
        <v>-18.137700426107717</v>
      </c>
    </row>
    <row r="1656" spans="1:10" ht="15.75" x14ac:dyDescent="0.5">
      <c r="A1656" s="13" t="s">
        <v>329</v>
      </c>
      <c r="B1656" s="13" t="s">
        <v>399</v>
      </c>
      <c r="C1656" s="13" t="s">
        <v>400</v>
      </c>
      <c r="D1656" s="14">
        <v>7.2499064625597898</v>
      </c>
      <c r="E1656" s="14">
        <v>4.2389343065693544E-2</v>
      </c>
      <c r="F1656" s="14">
        <v>0.51246000000000114</v>
      </c>
      <c r="G1656" s="14">
        <v>0.74987442301408103</v>
      </c>
      <c r="H1656" s="14">
        <v>0.31817439525536151</v>
      </c>
      <c r="I1656" s="14" t="s">
        <v>250</v>
      </c>
      <c r="J1656" s="14">
        <v>0.32565530372087281</v>
      </c>
    </row>
    <row r="1657" spans="1:10" ht="15.75" x14ac:dyDescent="0.5">
      <c r="A1657" s="13" t="s">
        <v>329</v>
      </c>
      <c r="B1657" s="13" t="s">
        <v>401</v>
      </c>
      <c r="C1657" s="13" t="s">
        <v>400</v>
      </c>
      <c r="D1657" s="14" t="s">
        <v>250</v>
      </c>
      <c r="E1657" s="14" t="s">
        <v>250</v>
      </c>
      <c r="F1657" s="14">
        <v>83.96565187194382</v>
      </c>
      <c r="G1657" s="14">
        <v>83.965651871943805</v>
      </c>
      <c r="H1657" s="14">
        <v>14.440819126145971</v>
      </c>
      <c r="I1657" s="14">
        <v>13.014032709875236</v>
      </c>
      <c r="J1657" s="14" t="s">
        <v>250</v>
      </c>
    </row>
    <row r="1658" spans="1:10" ht="15.75" x14ac:dyDescent="0.5">
      <c r="A1658" s="13" t="s">
        <v>329</v>
      </c>
      <c r="B1658" s="13" t="s">
        <v>402</v>
      </c>
      <c r="C1658" s="13" t="s">
        <v>400</v>
      </c>
      <c r="D1658" s="14">
        <v>1072.9916742877467</v>
      </c>
      <c r="E1658" s="14">
        <v>275.92887547287734</v>
      </c>
      <c r="F1658" s="14">
        <v>149.39698664660872</v>
      </c>
      <c r="G1658" s="14">
        <v>146.93180668728624</v>
      </c>
      <c r="H1658" s="14">
        <v>128.5568127786384</v>
      </c>
      <c r="I1658" s="14">
        <v>89.315270931233457</v>
      </c>
      <c r="J1658" s="14">
        <v>71.279439574505631</v>
      </c>
    </row>
    <row r="1659" spans="1:10" ht="15.75" x14ac:dyDescent="0.5">
      <c r="A1659" s="13" t="s">
        <v>329</v>
      </c>
      <c r="B1659" s="13" t="s">
        <v>403</v>
      </c>
      <c r="C1659" s="13" t="s">
        <v>400</v>
      </c>
      <c r="D1659" s="14" t="s">
        <v>250</v>
      </c>
      <c r="E1659" s="14" t="s">
        <v>250</v>
      </c>
      <c r="F1659" s="14">
        <v>37.89916926041554</v>
      </c>
      <c r="G1659" s="14">
        <v>37.899169260415547</v>
      </c>
      <c r="H1659" s="14">
        <v>7.6399788682533911</v>
      </c>
      <c r="I1659" s="14">
        <v>7.6399788682534009</v>
      </c>
      <c r="J1659" s="14" t="s">
        <v>250</v>
      </c>
    </row>
    <row r="1660" spans="1:10" ht="15.75" x14ac:dyDescent="0.5">
      <c r="A1660" s="13" t="s">
        <v>329</v>
      </c>
      <c r="B1660" s="13" t="s">
        <v>404</v>
      </c>
      <c r="C1660" s="13" t="s">
        <v>400</v>
      </c>
      <c r="D1660" s="14" t="s">
        <v>250</v>
      </c>
      <c r="E1660" s="14" t="s">
        <v>250</v>
      </c>
      <c r="F1660" s="14" t="s">
        <v>250</v>
      </c>
      <c r="G1660" s="14" t="s">
        <v>250</v>
      </c>
      <c r="H1660" s="14" t="s">
        <v>250</v>
      </c>
      <c r="I1660" s="14">
        <v>0.33069896914528535</v>
      </c>
      <c r="J1660" s="14">
        <v>0.33069896914528535</v>
      </c>
    </row>
    <row r="1661" spans="1:10" ht="15.75" x14ac:dyDescent="0.5">
      <c r="A1661" s="13" t="s">
        <v>329</v>
      </c>
      <c r="B1661" s="13" t="s">
        <v>421</v>
      </c>
      <c r="C1661" s="13" t="s">
        <v>400</v>
      </c>
      <c r="D1661" s="14" t="s">
        <v>250</v>
      </c>
      <c r="E1661" s="14" t="s">
        <v>250</v>
      </c>
      <c r="F1661" s="14" t="s">
        <v>250</v>
      </c>
      <c r="G1661" s="14">
        <v>42.625386571418851</v>
      </c>
      <c r="H1661" s="14">
        <v>114.89374087198024</v>
      </c>
      <c r="I1661" s="14">
        <v>114.89374087198017</v>
      </c>
      <c r="J1661" s="14">
        <v>24.805770364947143</v>
      </c>
    </row>
    <row r="1662" spans="1:10" ht="15.75" x14ac:dyDescent="0.5">
      <c r="A1662" s="13" t="s">
        <v>329</v>
      </c>
      <c r="B1662" s="13" t="s">
        <v>405</v>
      </c>
      <c r="C1662" s="13" t="s">
        <v>400</v>
      </c>
      <c r="D1662" s="14">
        <v>1259.3891290889949</v>
      </c>
      <c r="E1662" s="14">
        <v>1479.4043106883983</v>
      </c>
      <c r="F1662" s="14">
        <v>1694.5049618823141</v>
      </c>
      <c r="G1662" s="14">
        <v>2370.5225490272151</v>
      </c>
      <c r="H1662" s="14">
        <v>2976.60590210701</v>
      </c>
      <c r="I1662" s="14">
        <v>2786.7484943515369</v>
      </c>
      <c r="J1662" s="14">
        <v>3254.9938957801223</v>
      </c>
    </row>
    <row r="1663" spans="1:10" ht="15.75" x14ac:dyDescent="0.5">
      <c r="A1663" s="13" t="s">
        <v>329</v>
      </c>
      <c r="B1663" s="13" t="s">
        <v>406</v>
      </c>
      <c r="C1663" s="13" t="s">
        <v>400</v>
      </c>
      <c r="D1663" s="14">
        <v>23.479196814299339</v>
      </c>
      <c r="E1663" s="14">
        <v>29.068418511500965</v>
      </c>
      <c r="F1663" s="14">
        <v>42.638844155970496</v>
      </c>
      <c r="G1663" s="14">
        <v>43.333706682117509</v>
      </c>
      <c r="H1663" s="14">
        <v>44.932647724651645</v>
      </c>
      <c r="I1663" s="14">
        <v>47.708810899366554</v>
      </c>
      <c r="J1663" s="14">
        <v>50.022799960246552</v>
      </c>
    </row>
    <row r="1664" spans="1:10" ht="15.75" x14ac:dyDescent="0.5">
      <c r="A1664" s="13" t="s">
        <v>329</v>
      </c>
      <c r="B1664" s="13" t="s">
        <v>407</v>
      </c>
      <c r="C1664" s="13" t="s">
        <v>400</v>
      </c>
      <c r="D1664" s="14" t="s">
        <v>250</v>
      </c>
      <c r="E1664" s="14">
        <v>95.179851447705573</v>
      </c>
      <c r="F1664" s="14">
        <v>42.035270332796642</v>
      </c>
      <c r="G1664" s="14">
        <v>93.829708402780355</v>
      </c>
      <c r="H1664" s="14">
        <v>55.773879194293897</v>
      </c>
      <c r="I1664" s="14">
        <v>10.408356481481496</v>
      </c>
      <c r="J1664" s="14">
        <v>22.977062767963439</v>
      </c>
    </row>
    <row r="1665" spans="1:10" ht="15.75" x14ac:dyDescent="0.5">
      <c r="A1665" s="13" t="s">
        <v>329</v>
      </c>
      <c r="B1665" s="13" t="s">
        <v>408</v>
      </c>
      <c r="C1665" s="13" t="s">
        <v>400</v>
      </c>
      <c r="D1665" s="14">
        <v>46.892290321001248</v>
      </c>
      <c r="E1665" s="14">
        <v>30.02853050415548</v>
      </c>
      <c r="F1665" s="14">
        <v>22.834225681257262</v>
      </c>
      <c r="G1665" s="14">
        <v>27.133472472172723</v>
      </c>
      <c r="H1665" s="14">
        <v>27.211056658119002</v>
      </c>
      <c r="I1665" s="14">
        <v>24.209381771125535</v>
      </c>
      <c r="J1665" s="14">
        <v>25.375120844338838</v>
      </c>
    </row>
    <row r="1666" spans="1:10" ht="15.75" x14ac:dyDescent="0.5">
      <c r="A1666" s="13" t="s">
        <v>329</v>
      </c>
      <c r="B1666" s="13" t="s">
        <v>409</v>
      </c>
      <c r="C1666" s="13" t="s">
        <v>400</v>
      </c>
      <c r="D1666" s="14">
        <v>18.365704270000037</v>
      </c>
      <c r="E1666" s="14">
        <v>18.36570427000003</v>
      </c>
      <c r="F1666" s="14">
        <v>18.36570427000003</v>
      </c>
      <c r="G1666" s="14">
        <v>18.365704270000034</v>
      </c>
      <c r="H1666" s="14">
        <v>18.36570427000003</v>
      </c>
      <c r="I1666" s="14">
        <v>18.365704270000034</v>
      </c>
      <c r="J1666" s="14">
        <v>18.365704270000034</v>
      </c>
    </row>
    <row r="1667" spans="1:10" ht="15.75" x14ac:dyDescent="0.5">
      <c r="A1667" s="13" t="s">
        <v>329</v>
      </c>
      <c r="B1667" s="13" t="s">
        <v>410</v>
      </c>
      <c r="C1667" s="13" t="s">
        <v>400</v>
      </c>
      <c r="D1667" s="14">
        <v>245.79356253202226</v>
      </c>
      <c r="E1667" s="14">
        <v>245.14527966366961</v>
      </c>
      <c r="F1667" s="14">
        <v>245.75030805041285</v>
      </c>
      <c r="G1667" s="14">
        <v>246.14973280241279</v>
      </c>
      <c r="H1667" s="14">
        <v>246.14974236474868</v>
      </c>
      <c r="I1667" s="14">
        <v>245.98156860464562</v>
      </c>
      <c r="J1667" s="14">
        <v>246.03324066100564</v>
      </c>
    </row>
    <row r="1668" spans="1:10" ht="15.75" x14ac:dyDescent="0.5">
      <c r="A1668" s="13" t="s">
        <v>329</v>
      </c>
      <c r="B1668" s="13" t="s">
        <v>411</v>
      </c>
      <c r="C1668" s="13" t="s">
        <v>400</v>
      </c>
      <c r="D1668" s="14">
        <v>7.139400000000018</v>
      </c>
      <c r="E1668" s="14">
        <v>3.559348905109498</v>
      </c>
      <c r="F1668" s="14" t="s">
        <v>250</v>
      </c>
      <c r="G1668" s="14" t="s">
        <v>250</v>
      </c>
      <c r="H1668" s="14" t="s">
        <v>250</v>
      </c>
      <c r="I1668" s="14" t="s">
        <v>250</v>
      </c>
      <c r="J1668" s="14" t="s">
        <v>250</v>
      </c>
    </row>
    <row r="1669" spans="1:10" ht="15.75" x14ac:dyDescent="0.5">
      <c r="A1669" s="13" t="s">
        <v>329</v>
      </c>
      <c r="B1669" s="13" t="s">
        <v>412</v>
      </c>
      <c r="C1669" s="13" t="s">
        <v>400</v>
      </c>
      <c r="D1669" s="14">
        <v>760.72545968400163</v>
      </c>
      <c r="E1669" s="14">
        <v>746.39637655016645</v>
      </c>
      <c r="F1669" s="14">
        <v>505.00577812696559</v>
      </c>
      <c r="G1669" s="14">
        <v>558.29850158505326</v>
      </c>
      <c r="H1669" s="14">
        <v>603.36210052937997</v>
      </c>
      <c r="I1669" s="14">
        <v>606.13717659045278</v>
      </c>
      <c r="J1669" s="14">
        <v>585.75075610835734</v>
      </c>
    </row>
    <row r="1670" spans="1:10" ht="15.75" x14ac:dyDescent="0.5">
      <c r="A1670" s="13" t="s">
        <v>329</v>
      </c>
      <c r="B1670" s="13" t="s">
        <v>413</v>
      </c>
      <c r="C1670" s="13" t="s">
        <v>400</v>
      </c>
      <c r="D1670" s="14">
        <v>23.702927619886136</v>
      </c>
      <c r="E1670" s="14">
        <v>27.025241997496934</v>
      </c>
      <c r="F1670" s="14">
        <v>11.05256554582809</v>
      </c>
      <c r="G1670" s="14">
        <v>4.5540613272953836</v>
      </c>
      <c r="H1670" s="14">
        <v>2.398954206598785</v>
      </c>
      <c r="I1670" s="14">
        <v>1.235619252378225</v>
      </c>
      <c r="J1670" s="14">
        <v>1.075488122287013</v>
      </c>
    </row>
    <row r="1671" spans="1:10" ht="15.75" x14ac:dyDescent="0.5">
      <c r="A1671" s="13" t="s">
        <v>329</v>
      </c>
      <c r="B1671" s="13" t="s">
        <v>414</v>
      </c>
      <c r="C1671" s="13" t="s">
        <v>400</v>
      </c>
      <c r="D1671" s="14">
        <v>0.68039077051095032</v>
      </c>
      <c r="E1671" s="14">
        <v>24.09191713460212</v>
      </c>
      <c r="F1671" s="14">
        <v>94.597870341998814</v>
      </c>
      <c r="G1671" s="14">
        <v>188.51893852113218</v>
      </c>
      <c r="H1671" s="14">
        <v>228.11969819024546</v>
      </c>
      <c r="I1671" s="14">
        <v>228.69674394022607</v>
      </c>
      <c r="J1671" s="14">
        <v>229.10891947592694</v>
      </c>
    </row>
    <row r="1672" spans="1:10" ht="15.75" x14ac:dyDescent="0.5">
      <c r="A1672" s="13" t="s">
        <v>329</v>
      </c>
      <c r="B1672" s="13" t="s">
        <v>415</v>
      </c>
      <c r="C1672" s="13" t="s">
        <v>400</v>
      </c>
      <c r="D1672" s="14">
        <v>440.53124483255567</v>
      </c>
      <c r="E1672" s="14">
        <v>870.27673068344461</v>
      </c>
      <c r="F1672" s="14">
        <v>1351.26436794848</v>
      </c>
      <c r="G1672" s="14">
        <v>1414.2503930777916</v>
      </c>
      <c r="H1672" s="14">
        <v>1720.2798582630669</v>
      </c>
      <c r="I1672" s="14">
        <v>2175.4401566311458</v>
      </c>
      <c r="J1672" s="14">
        <v>2202.1767276343598</v>
      </c>
    </row>
    <row r="1673" spans="1:10" ht="15.75" x14ac:dyDescent="0.5">
      <c r="A1673" s="13" t="s">
        <v>329</v>
      </c>
      <c r="B1673" s="13" t="s">
        <v>416</v>
      </c>
      <c r="C1673" s="13" t="s">
        <v>400</v>
      </c>
      <c r="D1673" s="14" t="s">
        <v>250</v>
      </c>
      <c r="E1673" s="14">
        <v>54.174742594981012</v>
      </c>
      <c r="F1673" s="14">
        <v>66.675949052097479</v>
      </c>
      <c r="G1673" s="14">
        <v>76.801435170202168</v>
      </c>
      <c r="H1673" s="14">
        <v>77.990654991853717</v>
      </c>
      <c r="I1673" s="14">
        <v>82.683057309487694</v>
      </c>
      <c r="J1673" s="14">
        <v>94.727837483420984</v>
      </c>
    </row>
    <row r="1674" spans="1:10" ht="15.75" x14ac:dyDescent="0.5">
      <c r="A1674" s="13" t="s">
        <v>329</v>
      </c>
      <c r="B1674" s="13" t="s">
        <v>417</v>
      </c>
      <c r="C1674" s="13" t="s">
        <v>400</v>
      </c>
      <c r="D1674" s="14">
        <v>187.48709633408694</v>
      </c>
      <c r="E1674" s="14">
        <v>303.04243707946966</v>
      </c>
      <c r="F1674" s="14">
        <v>346.60841621016505</v>
      </c>
      <c r="G1674" s="14">
        <v>427.12302782101705</v>
      </c>
      <c r="H1674" s="14">
        <v>701.42446167971673</v>
      </c>
      <c r="I1674" s="14">
        <v>1521.0410893448689</v>
      </c>
      <c r="J1674" s="14">
        <v>1699.7381744758536</v>
      </c>
    </row>
    <row r="1675" spans="1:10" ht="15.75" x14ac:dyDescent="0.5">
      <c r="A1675" s="13" t="s">
        <v>329</v>
      </c>
      <c r="B1675" s="13" t="s">
        <v>418</v>
      </c>
      <c r="C1675" s="13" t="s">
        <v>400</v>
      </c>
      <c r="D1675" s="14">
        <v>3.1841751731019534</v>
      </c>
      <c r="E1675" s="14">
        <v>3.184175173101953</v>
      </c>
      <c r="F1675" s="14">
        <v>3.1841751731019534</v>
      </c>
      <c r="G1675" s="14">
        <v>3.184175173101953</v>
      </c>
      <c r="H1675" s="14">
        <v>3.1841751731019539</v>
      </c>
      <c r="I1675" s="14">
        <v>3.1841751731019525</v>
      </c>
      <c r="J1675" s="14">
        <v>3.1841751731019534</v>
      </c>
    </row>
    <row r="1676" spans="1:10" ht="15.75" x14ac:dyDescent="0.5">
      <c r="A1676" s="13" t="s">
        <v>329</v>
      </c>
      <c r="B1676" s="13" t="s">
        <v>419</v>
      </c>
      <c r="C1676" s="13" t="s">
        <v>400</v>
      </c>
      <c r="D1676" s="14">
        <v>0.54465920264079504</v>
      </c>
      <c r="E1676" s="14">
        <v>9.1900310830833085</v>
      </c>
      <c r="F1676" s="14">
        <v>16.976868128690988</v>
      </c>
      <c r="G1676" s="14">
        <v>21.220174565089991</v>
      </c>
      <c r="H1676" s="14">
        <v>39.556660849338961</v>
      </c>
      <c r="I1676" s="14">
        <v>83.234199671264705</v>
      </c>
      <c r="J1676" s="14">
        <v>96.147237428046751</v>
      </c>
    </row>
    <row r="1677" spans="1:10" ht="15.75" x14ac:dyDescent="0.5">
      <c r="A1677" s="13" t="s">
        <v>329</v>
      </c>
      <c r="B1677" s="13" t="s">
        <v>420</v>
      </c>
      <c r="C1677" s="13" t="s">
        <v>400</v>
      </c>
      <c r="D1677" s="14">
        <v>-13.987252957808439</v>
      </c>
      <c r="E1677" s="14">
        <v>-13.653489429223022</v>
      </c>
      <c r="F1677" s="14">
        <v>-13.031900956651118</v>
      </c>
      <c r="G1677" s="14">
        <v>-11.984945731544791</v>
      </c>
      <c r="H1677" s="14">
        <v>-14.498538427596667</v>
      </c>
      <c r="I1677" s="14">
        <v>-14.788523997610332</v>
      </c>
      <c r="J1677" s="14">
        <v>-17.477777556860943</v>
      </c>
    </row>
    <row r="1678" spans="1:10" ht="15.75" x14ac:dyDescent="0.5">
      <c r="A1678" s="13" t="s">
        <v>330</v>
      </c>
      <c r="B1678" s="13" t="s">
        <v>399</v>
      </c>
      <c r="C1678" s="13" t="s">
        <v>400</v>
      </c>
      <c r="D1678" s="14">
        <v>7.2499064625597898</v>
      </c>
      <c r="E1678" s="14">
        <v>4.2389343065693544E-2</v>
      </c>
      <c r="F1678" s="14">
        <v>0.51246000000000114</v>
      </c>
      <c r="G1678" s="14">
        <v>0.78288000000000169</v>
      </c>
      <c r="H1678" s="14">
        <v>0.58657156204379679</v>
      </c>
      <c r="I1678" s="14" t="s">
        <v>250</v>
      </c>
      <c r="J1678" s="14">
        <v>0.64450179567261057</v>
      </c>
    </row>
    <row r="1679" spans="1:10" ht="15.75" x14ac:dyDescent="0.5">
      <c r="A1679" s="13" t="s">
        <v>330</v>
      </c>
      <c r="B1679" s="13" t="s">
        <v>401</v>
      </c>
      <c r="C1679" s="13" t="s">
        <v>400</v>
      </c>
      <c r="D1679" s="14" t="s">
        <v>250</v>
      </c>
      <c r="E1679" s="14" t="s">
        <v>250</v>
      </c>
      <c r="F1679" s="14">
        <v>80.824247123494615</v>
      </c>
      <c r="G1679" s="14">
        <v>80.824247123494629</v>
      </c>
      <c r="H1679" s="14">
        <v>8.6475177136955104</v>
      </c>
      <c r="I1679" s="14">
        <v>8.0971201534919945</v>
      </c>
      <c r="J1679" s="14" t="s">
        <v>250</v>
      </c>
    </row>
    <row r="1680" spans="1:10" ht="15.75" x14ac:dyDescent="0.5">
      <c r="A1680" s="13" t="s">
        <v>330</v>
      </c>
      <c r="B1680" s="13" t="s">
        <v>402</v>
      </c>
      <c r="C1680" s="13" t="s">
        <v>400</v>
      </c>
      <c r="D1680" s="14">
        <v>1072.991674287746</v>
      </c>
      <c r="E1680" s="14">
        <v>273.75745806699723</v>
      </c>
      <c r="F1680" s="14">
        <v>152.06550033850763</v>
      </c>
      <c r="G1680" s="14">
        <v>146.43642746302842</v>
      </c>
      <c r="H1680" s="14">
        <v>123.22876496710606</v>
      </c>
      <c r="I1680" s="14">
        <v>89.032540687840566</v>
      </c>
      <c r="J1680" s="14">
        <v>75.558695974933173</v>
      </c>
    </row>
    <row r="1681" spans="1:10" ht="15.75" x14ac:dyDescent="0.5">
      <c r="A1681" s="13" t="s">
        <v>330</v>
      </c>
      <c r="B1681" s="13" t="s">
        <v>403</v>
      </c>
      <c r="C1681" s="13" t="s">
        <v>400</v>
      </c>
      <c r="D1681" s="14" t="s">
        <v>250</v>
      </c>
      <c r="E1681" s="14" t="s">
        <v>250</v>
      </c>
      <c r="F1681" s="14">
        <v>23.513552461492097</v>
      </c>
      <c r="G1681" s="14">
        <v>23.513552461492111</v>
      </c>
      <c r="H1681" s="14">
        <v>4.7431453401760626</v>
      </c>
      <c r="I1681" s="14">
        <v>4.7431453401760608</v>
      </c>
      <c r="J1681" s="14" t="s">
        <v>250</v>
      </c>
    </row>
    <row r="1682" spans="1:10" ht="15.75" x14ac:dyDescent="0.5">
      <c r="A1682" s="13" t="s">
        <v>330</v>
      </c>
      <c r="B1682" s="13" t="s">
        <v>404</v>
      </c>
      <c r="C1682" s="13" t="s">
        <v>400</v>
      </c>
      <c r="D1682" s="14" t="s">
        <v>250</v>
      </c>
      <c r="E1682" s="14" t="s">
        <v>250</v>
      </c>
      <c r="F1682" s="14" t="s">
        <v>250</v>
      </c>
      <c r="G1682" s="14" t="s">
        <v>250</v>
      </c>
      <c r="H1682" s="14" t="s">
        <v>250</v>
      </c>
      <c r="I1682" s="14">
        <v>0.33069896914528529</v>
      </c>
      <c r="J1682" s="14">
        <v>0.33069896914528535</v>
      </c>
    </row>
    <row r="1683" spans="1:10" ht="15.75" x14ac:dyDescent="0.5">
      <c r="A1683" s="13" t="s">
        <v>330</v>
      </c>
      <c r="B1683" s="13" t="s">
        <v>421</v>
      </c>
      <c r="C1683" s="13" t="s">
        <v>400</v>
      </c>
      <c r="D1683" s="14" t="s">
        <v>250</v>
      </c>
      <c r="E1683" s="14" t="s">
        <v>250</v>
      </c>
      <c r="F1683" s="14" t="s">
        <v>250</v>
      </c>
      <c r="G1683" s="14">
        <v>732.51226200434496</v>
      </c>
      <c r="H1683" s="14">
        <v>1965.211275218157</v>
      </c>
      <c r="I1683" s="14">
        <v>1952.8242560112683</v>
      </c>
      <c r="J1683" s="14">
        <v>329.01356398352334</v>
      </c>
    </row>
    <row r="1684" spans="1:10" ht="15.75" x14ac:dyDescent="0.5">
      <c r="A1684" s="13" t="s">
        <v>330</v>
      </c>
      <c r="B1684" s="13" t="s">
        <v>405</v>
      </c>
      <c r="C1684" s="13" t="s">
        <v>400</v>
      </c>
      <c r="D1684" s="14">
        <v>1259.3891290889953</v>
      </c>
      <c r="E1684" s="14">
        <v>1483.4428525836245</v>
      </c>
      <c r="F1684" s="14">
        <v>1681.9949389546714</v>
      </c>
      <c r="G1684" s="14">
        <v>1693.0646546363307</v>
      </c>
      <c r="H1684" s="14">
        <v>1278.7021424308316</v>
      </c>
      <c r="I1684" s="14">
        <v>1153.566522652822</v>
      </c>
      <c r="J1684" s="14">
        <v>3145.0749465427198</v>
      </c>
    </row>
    <row r="1685" spans="1:10" ht="15.75" x14ac:dyDescent="0.5">
      <c r="A1685" s="13" t="s">
        <v>330</v>
      </c>
      <c r="B1685" s="13" t="s">
        <v>406</v>
      </c>
      <c r="C1685" s="13" t="s">
        <v>400</v>
      </c>
      <c r="D1685" s="14">
        <v>23.479196814299332</v>
      </c>
      <c r="E1685" s="14">
        <v>28.168158058016928</v>
      </c>
      <c r="F1685" s="14">
        <v>42.787696102137467</v>
      </c>
      <c r="G1685" s="14">
        <v>43.532115509736045</v>
      </c>
      <c r="H1685" s="14">
        <v>44.355100927679594</v>
      </c>
      <c r="I1685" s="14">
        <v>47.494709921686109</v>
      </c>
      <c r="J1685" s="14">
        <v>47.78675809892426</v>
      </c>
    </row>
    <row r="1686" spans="1:10" ht="15.75" x14ac:dyDescent="0.5">
      <c r="A1686" s="13" t="s">
        <v>330</v>
      </c>
      <c r="B1686" s="13" t="s">
        <v>407</v>
      </c>
      <c r="C1686" s="13" t="s">
        <v>400</v>
      </c>
      <c r="D1686" s="14" t="s">
        <v>250</v>
      </c>
      <c r="E1686" s="14">
        <v>94.529022823490919</v>
      </c>
      <c r="F1686" s="14">
        <v>54.032105338218798</v>
      </c>
      <c r="G1686" s="14">
        <v>93.834202555906657</v>
      </c>
      <c r="H1686" s="14">
        <v>63.224429687386461</v>
      </c>
      <c r="I1686" s="14">
        <v>14.223517238429062</v>
      </c>
      <c r="J1686" s="14">
        <v>31.098487228574086</v>
      </c>
    </row>
    <row r="1687" spans="1:10" ht="15.75" x14ac:dyDescent="0.5">
      <c r="A1687" s="13" t="s">
        <v>330</v>
      </c>
      <c r="B1687" s="13" t="s">
        <v>408</v>
      </c>
      <c r="C1687" s="13" t="s">
        <v>400</v>
      </c>
      <c r="D1687" s="14">
        <v>46.892290321001234</v>
      </c>
      <c r="E1687" s="14">
        <v>29.988998183339788</v>
      </c>
      <c r="F1687" s="14">
        <v>22.570126654693425</v>
      </c>
      <c r="G1687" s="14">
        <v>27.63254110140506</v>
      </c>
      <c r="H1687" s="14">
        <v>24.20799925836798</v>
      </c>
      <c r="I1687" s="14">
        <v>18.973700999433895</v>
      </c>
      <c r="J1687" s="14">
        <v>29.281638833691716</v>
      </c>
    </row>
    <row r="1688" spans="1:10" ht="15.75" x14ac:dyDescent="0.5">
      <c r="A1688" s="13" t="s">
        <v>330</v>
      </c>
      <c r="B1688" s="13" t="s">
        <v>409</v>
      </c>
      <c r="C1688" s="13" t="s">
        <v>400</v>
      </c>
      <c r="D1688" s="14">
        <v>18.365704270000037</v>
      </c>
      <c r="E1688" s="14">
        <v>18.36570427000003</v>
      </c>
      <c r="F1688" s="14">
        <v>18.36570427000003</v>
      </c>
      <c r="G1688" s="14">
        <v>18.365704270000034</v>
      </c>
      <c r="H1688" s="14">
        <v>18.365704270000034</v>
      </c>
      <c r="I1688" s="14">
        <v>18.360488789853513</v>
      </c>
      <c r="J1688" s="14">
        <v>18.365704270000037</v>
      </c>
    </row>
    <row r="1689" spans="1:10" ht="15.75" x14ac:dyDescent="0.5">
      <c r="A1689" s="13" t="s">
        <v>330</v>
      </c>
      <c r="B1689" s="13" t="s">
        <v>410</v>
      </c>
      <c r="C1689" s="13" t="s">
        <v>400</v>
      </c>
      <c r="D1689" s="14">
        <v>245.79356253202212</v>
      </c>
      <c r="E1689" s="14">
        <v>245.16190754382137</v>
      </c>
      <c r="F1689" s="14">
        <v>245.82819941982964</v>
      </c>
      <c r="G1689" s="14">
        <v>245.95261272677692</v>
      </c>
      <c r="H1689" s="14">
        <v>246.14974236474879</v>
      </c>
      <c r="I1689" s="14">
        <v>245.98237544984349</v>
      </c>
      <c r="J1689" s="14">
        <v>246.08619599474306</v>
      </c>
    </row>
    <row r="1690" spans="1:10" ht="15.75" x14ac:dyDescent="0.5">
      <c r="A1690" s="13" t="s">
        <v>330</v>
      </c>
      <c r="B1690" s="13" t="s">
        <v>411</v>
      </c>
      <c r="C1690" s="13" t="s">
        <v>400</v>
      </c>
      <c r="D1690" s="14">
        <v>7.1394000000000162</v>
      </c>
      <c r="E1690" s="14">
        <v>3.5593489051094984</v>
      </c>
      <c r="F1690" s="14" t="s">
        <v>250</v>
      </c>
      <c r="G1690" s="14" t="s">
        <v>250</v>
      </c>
      <c r="H1690" s="14" t="s">
        <v>250</v>
      </c>
      <c r="I1690" s="14" t="s">
        <v>250</v>
      </c>
      <c r="J1690" s="14" t="s">
        <v>250</v>
      </c>
    </row>
    <row r="1691" spans="1:10" ht="15.75" x14ac:dyDescent="0.5">
      <c r="A1691" s="13" t="s">
        <v>330</v>
      </c>
      <c r="B1691" s="13" t="s">
        <v>412</v>
      </c>
      <c r="C1691" s="13" t="s">
        <v>400</v>
      </c>
      <c r="D1691" s="14">
        <v>760.72545968400186</v>
      </c>
      <c r="E1691" s="14">
        <v>745.00848430631606</v>
      </c>
      <c r="F1691" s="14">
        <v>517.50673580257637</v>
      </c>
      <c r="G1691" s="14">
        <v>553.11031885939883</v>
      </c>
      <c r="H1691" s="14">
        <v>513.48219167724596</v>
      </c>
      <c r="I1691" s="14">
        <v>458.55485157223421</v>
      </c>
      <c r="J1691" s="14">
        <v>353.10569032917516</v>
      </c>
    </row>
    <row r="1692" spans="1:10" ht="15.75" x14ac:dyDescent="0.5">
      <c r="A1692" s="13" t="s">
        <v>330</v>
      </c>
      <c r="B1692" s="13" t="s">
        <v>413</v>
      </c>
      <c r="C1692" s="13" t="s">
        <v>400</v>
      </c>
      <c r="D1692" s="14">
        <v>23.702927619886136</v>
      </c>
      <c r="E1692" s="14">
        <v>27.624786368953487</v>
      </c>
      <c r="F1692" s="14">
        <v>11.396525905843175</v>
      </c>
      <c r="G1692" s="14">
        <v>4.4897161924784355</v>
      </c>
      <c r="H1692" s="14">
        <v>2.2485388622535485</v>
      </c>
      <c r="I1692" s="14">
        <v>1.05345400233315</v>
      </c>
      <c r="J1692" s="14">
        <v>1.1221896350364982</v>
      </c>
    </row>
    <row r="1693" spans="1:10" ht="15.75" x14ac:dyDescent="0.5">
      <c r="A1693" s="13" t="s">
        <v>330</v>
      </c>
      <c r="B1693" s="13" t="s">
        <v>414</v>
      </c>
      <c r="C1693" s="13" t="s">
        <v>400</v>
      </c>
      <c r="D1693" s="14">
        <v>0.6803907705109502</v>
      </c>
      <c r="E1693" s="14">
        <v>24.088891780416809</v>
      </c>
      <c r="F1693" s="14">
        <v>94.584970566131204</v>
      </c>
      <c r="G1693" s="14">
        <v>188.506266172875</v>
      </c>
      <c r="H1693" s="14">
        <v>228.10697817171257</v>
      </c>
      <c r="I1693" s="14">
        <v>228.68398684481221</v>
      </c>
      <c r="J1693" s="14">
        <v>229.0961358970267</v>
      </c>
    </row>
    <row r="1694" spans="1:10" ht="15.75" x14ac:dyDescent="0.5">
      <c r="A1694" s="13" t="s">
        <v>330</v>
      </c>
      <c r="B1694" s="13" t="s">
        <v>415</v>
      </c>
      <c r="C1694" s="13" t="s">
        <v>400</v>
      </c>
      <c r="D1694" s="14">
        <v>440.53124483255561</v>
      </c>
      <c r="E1694" s="14">
        <v>870.43396394332376</v>
      </c>
      <c r="F1694" s="14">
        <v>1353.4743756533892</v>
      </c>
      <c r="G1694" s="14">
        <v>1427.2553294881254</v>
      </c>
      <c r="H1694" s="14">
        <v>1717.2141136572995</v>
      </c>
      <c r="I1694" s="14">
        <v>2144.8585518602899</v>
      </c>
      <c r="J1694" s="14">
        <v>2211.0867492702614</v>
      </c>
    </row>
    <row r="1695" spans="1:10" ht="15.75" x14ac:dyDescent="0.5">
      <c r="A1695" s="13" t="s">
        <v>330</v>
      </c>
      <c r="B1695" s="13" t="s">
        <v>416</v>
      </c>
      <c r="C1695" s="13" t="s">
        <v>400</v>
      </c>
      <c r="D1695" s="14" t="s">
        <v>250</v>
      </c>
      <c r="E1695" s="14">
        <v>54.174742594981012</v>
      </c>
      <c r="F1695" s="14">
        <v>66.675949052097479</v>
      </c>
      <c r="G1695" s="14">
        <v>76.80143517020214</v>
      </c>
      <c r="H1695" s="14">
        <v>77.990654991853717</v>
      </c>
      <c r="I1695" s="14">
        <v>82.68305730948768</v>
      </c>
      <c r="J1695" s="14">
        <v>94.727837483420899</v>
      </c>
    </row>
    <row r="1696" spans="1:10" ht="15.75" x14ac:dyDescent="0.5">
      <c r="A1696" s="13" t="s">
        <v>330</v>
      </c>
      <c r="B1696" s="13" t="s">
        <v>417</v>
      </c>
      <c r="C1696" s="13" t="s">
        <v>400</v>
      </c>
      <c r="D1696" s="14">
        <v>187.48709633408694</v>
      </c>
      <c r="E1696" s="14">
        <v>303.04243707946955</v>
      </c>
      <c r="F1696" s="14">
        <v>346.4099560891263</v>
      </c>
      <c r="G1696" s="14">
        <v>428.65534037441375</v>
      </c>
      <c r="H1696" s="14">
        <v>675.33202905122732</v>
      </c>
      <c r="I1696" s="14">
        <v>1545.6406268197545</v>
      </c>
      <c r="J1696" s="14">
        <v>1743.4163469536904</v>
      </c>
    </row>
    <row r="1697" spans="1:10" ht="15.75" x14ac:dyDescent="0.5">
      <c r="A1697" s="13" t="s">
        <v>330</v>
      </c>
      <c r="B1697" s="13" t="s">
        <v>418</v>
      </c>
      <c r="C1697" s="13" t="s">
        <v>400</v>
      </c>
      <c r="D1697" s="14">
        <v>3.1841751731019534</v>
      </c>
      <c r="E1697" s="14">
        <v>3.1841751731019539</v>
      </c>
      <c r="F1697" s="14">
        <v>3.184175173101953</v>
      </c>
      <c r="G1697" s="14">
        <v>3.184175173101953</v>
      </c>
      <c r="H1697" s="14">
        <v>3.1841751731019534</v>
      </c>
      <c r="I1697" s="14">
        <v>3.1841751731019534</v>
      </c>
      <c r="J1697" s="14">
        <v>3.1841751731019534</v>
      </c>
    </row>
    <row r="1698" spans="1:10" ht="15.75" x14ac:dyDescent="0.5">
      <c r="A1698" s="13" t="s">
        <v>330</v>
      </c>
      <c r="B1698" s="13" t="s">
        <v>419</v>
      </c>
      <c r="C1698" s="13" t="s">
        <v>400</v>
      </c>
      <c r="D1698" s="14">
        <v>0.54465920264079493</v>
      </c>
      <c r="E1698" s="14">
        <v>9.0274302204177754</v>
      </c>
      <c r="F1698" s="14">
        <v>16.913224189940831</v>
      </c>
      <c r="G1698" s="14">
        <v>21.260759345264123</v>
      </c>
      <c r="H1698" s="14">
        <v>40.104879053882087</v>
      </c>
      <c r="I1698" s="14">
        <v>87.705792739298104</v>
      </c>
      <c r="J1698" s="14">
        <v>92.298216634701632</v>
      </c>
    </row>
    <row r="1699" spans="1:10" ht="15.75" x14ac:dyDescent="0.5">
      <c r="A1699" s="13" t="s">
        <v>330</v>
      </c>
      <c r="B1699" s="13" t="s">
        <v>420</v>
      </c>
      <c r="C1699" s="13" t="s">
        <v>400</v>
      </c>
      <c r="D1699" s="14">
        <v>-13.987252957808408</v>
      </c>
      <c r="E1699" s="14">
        <v>-13.82379466375188</v>
      </c>
      <c r="F1699" s="14">
        <v>-13.206307889745766</v>
      </c>
      <c r="G1699" s="14">
        <v>-12.108654650083064</v>
      </c>
      <c r="H1699" s="14">
        <v>-15.663526090044197</v>
      </c>
      <c r="I1699" s="14">
        <v>-16.028955980978417</v>
      </c>
      <c r="J1699" s="14">
        <v>-17.108918404244704</v>
      </c>
    </row>
    <row r="1700" spans="1:10" ht="15.75" x14ac:dyDescent="0.5">
      <c r="A1700" s="13" t="s">
        <v>331</v>
      </c>
      <c r="B1700" s="13" t="s">
        <v>399</v>
      </c>
      <c r="C1700" s="13" t="s">
        <v>400</v>
      </c>
      <c r="D1700" s="14">
        <v>7.2499064625597898</v>
      </c>
      <c r="E1700" s="14">
        <v>4.2389343065693544E-2</v>
      </c>
      <c r="F1700" s="14">
        <v>0.51246000000000103</v>
      </c>
      <c r="G1700" s="14">
        <v>0.7828800000000018</v>
      </c>
      <c r="H1700" s="14">
        <v>0.58657156204379679</v>
      </c>
      <c r="I1700" s="14" t="s">
        <v>250</v>
      </c>
      <c r="J1700" s="14">
        <v>0.64450179567261057</v>
      </c>
    </row>
    <row r="1701" spans="1:10" ht="15.75" x14ac:dyDescent="0.5">
      <c r="A1701" s="13" t="s">
        <v>331</v>
      </c>
      <c r="B1701" s="13" t="s">
        <v>401</v>
      </c>
      <c r="C1701" s="13" t="s">
        <v>400</v>
      </c>
      <c r="D1701" s="14" t="s">
        <v>250</v>
      </c>
      <c r="E1701" s="14" t="s">
        <v>250</v>
      </c>
      <c r="F1701" s="14">
        <v>80.824247129930313</v>
      </c>
      <c r="G1701" s="14">
        <v>80.824247129930299</v>
      </c>
      <c r="H1701" s="14">
        <v>8.647517715805396</v>
      </c>
      <c r="I1701" s="14">
        <v>8.0971201556272359</v>
      </c>
      <c r="J1701" s="14" t="s">
        <v>250</v>
      </c>
    </row>
    <row r="1702" spans="1:10" ht="15.75" x14ac:dyDescent="0.5">
      <c r="A1702" s="13" t="s">
        <v>331</v>
      </c>
      <c r="B1702" s="13" t="s">
        <v>402</v>
      </c>
      <c r="C1702" s="13" t="s">
        <v>400</v>
      </c>
      <c r="D1702" s="14">
        <v>1072.9916742877463</v>
      </c>
      <c r="E1702" s="14">
        <v>273.7574579939776</v>
      </c>
      <c r="F1702" s="14">
        <v>152.06550033241686</v>
      </c>
      <c r="G1702" s="14">
        <v>146.43642747308712</v>
      </c>
      <c r="H1702" s="14">
        <v>123.22876500624898</v>
      </c>
      <c r="I1702" s="14">
        <v>89.03254072065485</v>
      </c>
      <c r="J1702" s="14">
        <v>75.558696096268804</v>
      </c>
    </row>
    <row r="1703" spans="1:10" ht="15.75" x14ac:dyDescent="0.5">
      <c r="A1703" s="13" t="s">
        <v>331</v>
      </c>
      <c r="B1703" s="13" t="s">
        <v>403</v>
      </c>
      <c r="C1703" s="13" t="s">
        <v>400</v>
      </c>
      <c r="D1703" s="14" t="s">
        <v>250</v>
      </c>
      <c r="E1703" s="14" t="s">
        <v>250</v>
      </c>
      <c r="F1703" s="14">
        <v>23.51355246213215</v>
      </c>
      <c r="G1703" s="14">
        <v>23.513552462132147</v>
      </c>
      <c r="H1703" s="14">
        <v>4.7431453403044133</v>
      </c>
      <c r="I1703" s="14">
        <v>4.7431453403044133</v>
      </c>
      <c r="J1703" s="14" t="s">
        <v>250</v>
      </c>
    </row>
    <row r="1704" spans="1:10" ht="15.75" x14ac:dyDescent="0.5">
      <c r="A1704" s="13" t="s">
        <v>331</v>
      </c>
      <c r="B1704" s="13" t="s">
        <v>404</v>
      </c>
      <c r="C1704" s="13" t="s">
        <v>400</v>
      </c>
      <c r="D1704" s="14" t="s">
        <v>250</v>
      </c>
      <c r="E1704" s="14" t="s">
        <v>250</v>
      </c>
      <c r="F1704" s="14" t="s">
        <v>250</v>
      </c>
      <c r="G1704" s="14" t="s">
        <v>250</v>
      </c>
      <c r="H1704" s="14" t="s">
        <v>250</v>
      </c>
      <c r="I1704" s="14">
        <v>0.33069896914528535</v>
      </c>
      <c r="J1704" s="14">
        <v>0.33069896914528529</v>
      </c>
    </row>
    <row r="1705" spans="1:10" ht="15.75" x14ac:dyDescent="0.5">
      <c r="A1705" s="13" t="s">
        <v>331</v>
      </c>
      <c r="B1705" s="13" t="s">
        <v>421</v>
      </c>
      <c r="C1705" s="13" t="s">
        <v>400</v>
      </c>
      <c r="D1705" s="14" t="s">
        <v>250</v>
      </c>
      <c r="E1705" s="14" t="s">
        <v>250</v>
      </c>
      <c r="F1705" s="14" t="s">
        <v>250</v>
      </c>
      <c r="G1705" s="14">
        <v>732.51226191412889</v>
      </c>
      <c r="H1705" s="14">
        <v>1965.2112749632622</v>
      </c>
      <c r="I1705" s="14">
        <v>1952.8242557043413</v>
      </c>
      <c r="J1705" s="14">
        <v>329.01356396813645</v>
      </c>
    </row>
    <row r="1706" spans="1:10" ht="15.75" x14ac:dyDescent="0.5">
      <c r="A1706" s="13" t="s">
        <v>331</v>
      </c>
      <c r="B1706" s="13" t="s">
        <v>405</v>
      </c>
      <c r="C1706" s="13" t="s">
        <v>400</v>
      </c>
      <c r="D1706" s="14">
        <v>1259.3891290889944</v>
      </c>
      <c r="E1706" s="14">
        <v>1483.4428526291867</v>
      </c>
      <c r="F1706" s="14">
        <v>1681.9949390816794</v>
      </c>
      <c r="G1706" s="14">
        <v>1693.0646548782881</v>
      </c>
      <c r="H1706" s="14">
        <v>1278.7021427348257</v>
      </c>
      <c r="I1706" s="14">
        <v>1153.5665231755536</v>
      </c>
      <c r="J1706" s="14">
        <v>3145.0749465594663</v>
      </c>
    </row>
    <row r="1707" spans="1:10" ht="15.75" x14ac:dyDescent="0.5">
      <c r="A1707" s="13" t="s">
        <v>331</v>
      </c>
      <c r="B1707" s="13" t="s">
        <v>406</v>
      </c>
      <c r="C1707" s="13" t="s">
        <v>400</v>
      </c>
      <c r="D1707" s="14">
        <v>23.479196814299335</v>
      </c>
      <c r="E1707" s="14">
        <v>28.168158082444883</v>
      </c>
      <c r="F1707" s="14">
        <v>42.78769614104705</v>
      </c>
      <c r="G1707" s="14">
        <v>43.53211551157947</v>
      </c>
      <c r="H1707" s="14">
        <v>44.355100932198091</v>
      </c>
      <c r="I1707" s="14">
        <v>47.494709936122611</v>
      </c>
      <c r="J1707" s="14">
        <v>47.786758115402314</v>
      </c>
    </row>
    <row r="1708" spans="1:10" ht="15.75" x14ac:dyDescent="0.5">
      <c r="A1708" s="13" t="s">
        <v>331</v>
      </c>
      <c r="B1708" s="13" t="s">
        <v>407</v>
      </c>
      <c r="C1708" s="13" t="s">
        <v>400</v>
      </c>
      <c r="D1708" s="14" t="s">
        <v>250</v>
      </c>
      <c r="E1708" s="14">
        <v>94.529022831802649</v>
      </c>
      <c r="F1708" s="14">
        <v>54.032105174552093</v>
      </c>
      <c r="G1708" s="14">
        <v>93.834202335571206</v>
      </c>
      <c r="H1708" s="14">
        <v>63.224429650292848</v>
      </c>
      <c r="I1708" s="14">
        <v>14.223517238429061</v>
      </c>
      <c r="J1708" s="14">
        <v>31.098487231664713</v>
      </c>
    </row>
    <row r="1709" spans="1:10" ht="15.75" x14ac:dyDescent="0.5">
      <c r="A1709" s="13" t="s">
        <v>331</v>
      </c>
      <c r="B1709" s="13" t="s">
        <v>408</v>
      </c>
      <c r="C1709" s="13" t="s">
        <v>400</v>
      </c>
      <c r="D1709" s="14">
        <v>46.892290321001234</v>
      </c>
      <c r="E1709" s="14">
        <v>29.988998185512457</v>
      </c>
      <c r="F1709" s="14">
        <v>22.570126650168671</v>
      </c>
      <c r="G1709" s="14">
        <v>27.632541097458095</v>
      </c>
      <c r="H1709" s="14">
        <v>24.207999272160038</v>
      </c>
      <c r="I1709" s="14">
        <v>18.973701011055656</v>
      </c>
      <c r="J1709" s="14">
        <v>29.28163883566322</v>
      </c>
    </row>
    <row r="1710" spans="1:10" ht="15.75" x14ac:dyDescent="0.5">
      <c r="A1710" s="13" t="s">
        <v>331</v>
      </c>
      <c r="B1710" s="13" t="s">
        <v>409</v>
      </c>
      <c r="C1710" s="13" t="s">
        <v>400</v>
      </c>
      <c r="D1710" s="14">
        <v>18.365704270000034</v>
      </c>
      <c r="E1710" s="14">
        <v>18.36570427000003</v>
      </c>
      <c r="F1710" s="14">
        <v>18.365704270000034</v>
      </c>
      <c r="G1710" s="14">
        <v>18.365704270000034</v>
      </c>
      <c r="H1710" s="14">
        <v>18.365704270000034</v>
      </c>
      <c r="I1710" s="14">
        <v>18.360488789853505</v>
      </c>
      <c r="J1710" s="14">
        <v>18.365704270000034</v>
      </c>
    </row>
    <row r="1711" spans="1:10" ht="15.75" x14ac:dyDescent="0.5">
      <c r="A1711" s="13" t="s">
        <v>331</v>
      </c>
      <c r="B1711" s="13" t="s">
        <v>410</v>
      </c>
      <c r="C1711" s="13" t="s">
        <v>400</v>
      </c>
      <c r="D1711" s="14">
        <v>245.79356253202212</v>
      </c>
      <c r="E1711" s="14">
        <v>245.16190754411267</v>
      </c>
      <c r="F1711" s="14">
        <v>245.82819941982964</v>
      </c>
      <c r="G1711" s="14">
        <v>245.95261272677698</v>
      </c>
      <c r="H1711" s="14">
        <v>246.1497423647487</v>
      </c>
      <c r="I1711" s="14">
        <v>245.98237545070168</v>
      </c>
      <c r="J1711" s="14">
        <v>246.08619599496708</v>
      </c>
    </row>
    <row r="1712" spans="1:10" ht="15.75" x14ac:dyDescent="0.5">
      <c r="A1712" s="13" t="s">
        <v>331</v>
      </c>
      <c r="B1712" s="13" t="s">
        <v>411</v>
      </c>
      <c r="C1712" s="13" t="s">
        <v>400</v>
      </c>
      <c r="D1712" s="14">
        <v>7.1394000000000206</v>
      </c>
      <c r="E1712" s="14">
        <v>3.559348905109498</v>
      </c>
      <c r="F1712" s="14" t="s">
        <v>250</v>
      </c>
      <c r="G1712" s="14" t="s">
        <v>250</v>
      </c>
      <c r="H1712" s="14" t="s">
        <v>250</v>
      </c>
      <c r="I1712" s="14" t="s">
        <v>250</v>
      </c>
      <c r="J1712" s="14" t="s">
        <v>250</v>
      </c>
    </row>
    <row r="1713" spans="1:10" ht="15.75" x14ac:dyDescent="0.5">
      <c r="A1713" s="13" t="s">
        <v>331</v>
      </c>
      <c r="B1713" s="13" t="s">
        <v>412</v>
      </c>
      <c r="C1713" s="13" t="s">
        <v>400</v>
      </c>
      <c r="D1713" s="14">
        <v>760.72545968400175</v>
      </c>
      <c r="E1713" s="14">
        <v>745.00848430421513</v>
      </c>
      <c r="F1713" s="14">
        <v>517.50673571539733</v>
      </c>
      <c r="G1713" s="14">
        <v>553.11031885203295</v>
      </c>
      <c r="H1713" s="14">
        <v>513.48219132752899</v>
      </c>
      <c r="I1713" s="14">
        <v>458.55485122759472</v>
      </c>
      <c r="J1713" s="14">
        <v>353.1056896649032</v>
      </c>
    </row>
    <row r="1714" spans="1:10" ht="15.75" x14ac:dyDescent="0.5">
      <c r="A1714" s="13" t="s">
        <v>331</v>
      </c>
      <c r="B1714" s="13" t="s">
        <v>413</v>
      </c>
      <c r="C1714" s="13" t="s">
        <v>400</v>
      </c>
      <c r="D1714" s="14">
        <v>23.702927619886143</v>
      </c>
      <c r="E1714" s="14">
        <v>27.624786368405914</v>
      </c>
      <c r="F1714" s="14">
        <v>11.396525906008655</v>
      </c>
      <c r="G1714" s="14">
        <v>4.4897161823116392</v>
      </c>
      <c r="H1714" s="14">
        <v>2.2485388474346584</v>
      </c>
      <c r="I1714" s="14">
        <v>1.0534540032687809</v>
      </c>
      <c r="J1714" s="14">
        <v>1.1221896350364982</v>
      </c>
    </row>
    <row r="1715" spans="1:10" ht="15.75" x14ac:dyDescent="0.5">
      <c r="A1715" s="13" t="s">
        <v>331</v>
      </c>
      <c r="B1715" s="13" t="s">
        <v>414</v>
      </c>
      <c r="C1715" s="13" t="s">
        <v>400</v>
      </c>
      <c r="D1715" s="14">
        <v>0.6803907705109502</v>
      </c>
      <c r="E1715" s="14">
        <v>24.088891780416809</v>
      </c>
      <c r="F1715" s="14">
        <v>94.584970566131204</v>
      </c>
      <c r="G1715" s="14">
        <v>188.50626617287497</v>
      </c>
      <c r="H1715" s="14">
        <v>228.10697817171263</v>
      </c>
      <c r="I1715" s="14">
        <v>228.68398684481221</v>
      </c>
      <c r="J1715" s="14">
        <v>229.0961358970267</v>
      </c>
    </row>
    <row r="1716" spans="1:10" ht="15.75" x14ac:dyDescent="0.5">
      <c r="A1716" s="13" t="s">
        <v>331</v>
      </c>
      <c r="B1716" s="13" t="s">
        <v>415</v>
      </c>
      <c r="C1716" s="13" t="s">
        <v>400</v>
      </c>
      <c r="D1716" s="14">
        <v>440.5312448325555</v>
      </c>
      <c r="E1716" s="14">
        <v>870.43396394332399</v>
      </c>
      <c r="F1716" s="14">
        <v>1353.4743756507537</v>
      </c>
      <c r="G1716" s="14">
        <v>1427.2553294906397</v>
      </c>
      <c r="H1716" s="14">
        <v>1717.2141133847001</v>
      </c>
      <c r="I1716" s="14">
        <v>2144.8585514736892</v>
      </c>
      <c r="J1716" s="14">
        <v>2211.0867495772854</v>
      </c>
    </row>
    <row r="1717" spans="1:10" ht="15.75" x14ac:dyDescent="0.5">
      <c r="A1717" s="13" t="s">
        <v>331</v>
      </c>
      <c r="B1717" s="13" t="s">
        <v>416</v>
      </c>
      <c r="C1717" s="13" t="s">
        <v>400</v>
      </c>
      <c r="D1717" s="14" t="s">
        <v>250</v>
      </c>
      <c r="E1717" s="14">
        <v>54.174742594981005</v>
      </c>
      <c r="F1717" s="14">
        <v>66.675949052097479</v>
      </c>
      <c r="G1717" s="14">
        <v>76.801435170202069</v>
      </c>
      <c r="H1717" s="14">
        <v>77.990654991853745</v>
      </c>
      <c r="I1717" s="14">
        <v>82.683057309487651</v>
      </c>
      <c r="J1717" s="14">
        <v>94.727837483420956</v>
      </c>
    </row>
    <row r="1718" spans="1:10" ht="15.75" x14ac:dyDescent="0.5">
      <c r="A1718" s="13" t="s">
        <v>331</v>
      </c>
      <c r="B1718" s="13" t="s">
        <v>417</v>
      </c>
      <c r="C1718" s="13" t="s">
        <v>400</v>
      </c>
      <c r="D1718" s="14">
        <v>187.48709633408691</v>
      </c>
      <c r="E1718" s="14">
        <v>303.04243707946949</v>
      </c>
      <c r="F1718" s="14">
        <v>346.40995610609463</v>
      </c>
      <c r="G1718" s="14">
        <v>428.6553404648235</v>
      </c>
      <c r="H1718" s="14">
        <v>675.33202965379473</v>
      </c>
      <c r="I1718" s="14">
        <v>1545.6406271878836</v>
      </c>
      <c r="J1718" s="14">
        <v>1743.4163471648812</v>
      </c>
    </row>
    <row r="1719" spans="1:10" ht="15.75" x14ac:dyDescent="0.5">
      <c r="A1719" s="13" t="s">
        <v>331</v>
      </c>
      <c r="B1719" s="13" t="s">
        <v>418</v>
      </c>
      <c r="C1719" s="13" t="s">
        <v>400</v>
      </c>
      <c r="D1719" s="14">
        <v>3.184175173101953</v>
      </c>
      <c r="E1719" s="14">
        <v>3.184175173101953</v>
      </c>
      <c r="F1719" s="14">
        <v>3.1841751731019534</v>
      </c>
      <c r="G1719" s="14">
        <v>3.1841751731019525</v>
      </c>
      <c r="H1719" s="14">
        <v>3.1841751731019534</v>
      </c>
      <c r="I1719" s="14">
        <v>3.1841751731019534</v>
      </c>
      <c r="J1719" s="14">
        <v>3.1841751731019539</v>
      </c>
    </row>
    <row r="1720" spans="1:10" ht="15.75" x14ac:dyDescent="0.5">
      <c r="A1720" s="13" t="s">
        <v>331</v>
      </c>
      <c r="B1720" s="13" t="s">
        <v>419</v>
      </c>
      <c r="C1720" s="13" t="s">
        <v>400</v>
      </c>
      <c r="D1720" s="14">
        <v>0.54465920264079504</v>
      </c>
      <c r="E1720" s="14">
        <v>9.0274302192113716</v>
      </c>
      <c r="F1720" s="14">
        <v>16.913237024564086</v>
      </c>
      <c r="G1720" s="14">
        <v>21.260759280310491</v>
      </c>
      <c r="H1720" s="14">
        <v>40.104879077806252</v>
      </c>
      <c r="I1720" s="14">
        <v>87.705792943228616</v>
      </c>
      <c r="J1720" s="14">
        <v>92.298216573889903</v>
      </c>
    </row>
    <row r="1721" spans="1:10" ht="15.75" x14ac:dyDescent="0.5">
      <c r="A1721" s="13" t="s">
        <v>331</v>
      </c>
      <c r="B1721" s="13" t="s">
        <v>420</v>
      </c>
      <c r="C1721" s="13" t="s">
        <v>400</v>
      </c>
      <c r="D1721" s="14">
        <v>-13.987252957808382</v>
      </c>
      <c r="E1721" s="14">
        <v>-13.823794662307225</v>
      </c>
      <c r="F1721" s="14">
        <v>-13.206348513364606</v>
      </c>
      <c r="G1721" s="14">
        <v>-12.108654656422271</v>
      </c>
      <c r="H1721" s="14">
        <v>-15.663547380223172</v>
      </c>
      <c r="I1721" s="14">
        <v>-16.028955979917143</v>
      </c>
      <c r="J1721" s="14">
        <v>-17.108918364999276</v>
      </c>
    </row>
    <row r="1722" spans="1:10" ht="15.75" x14ac:dyDescent="0.5">
      <c r="A1722" s="13" t="s">
        <v>332</v>
      </c>
      <c r="B1722" s="13" t="s">
        <v>399</v>
      </c>
      <c r="C1722" s="13" t="s">
        <v>400</v>
      </c>
      <c r="D1722" s="14">
        <v>7.2499064625597889</v>
      </c>
      <c r="E1722" s="14">
        <v>4.2389343065693544E-2</v>
      </c>
      <c r="F1722" s="14">
        <v>0.51246000000000114</v>
      </c>
      <c r="G1722" s="14">
        <v>0.74187812924381358</v>
      </c>
      <c r="H1722" s="14">
        <v>0.59469349917704628</v>
      </c>
      <c r="I1722" s="14" t="s">
        <v>250</v>
      </c>
      <c r="J1722" s="14">
        <v>0.32677555713991258</v>
      </c>
    </row>
    <row r="1723" spans="1:10" ht="15.75" x14ac:dyDescent="0.5">
      <c r="A1723" s="13" t="s">
        <v>332</v>
      </c>
      <c r="B1723" s="13" t="s">
        <v>401</v>
      </c>
      <c r="C1723" s="13" t="s">
        <v>400</v>
      </c>
      <c r="D1723" s="14" t="s">
        <v>250</v>
      </c>
      <c r="E1723" s="14" t="s">
        <v>250</v>
      </c>
      <c r="F1723" s="14">
        <v>80.565243224441758</v>
      </c>
      <c r="G1723" s="14">
        <v>80.56524322444173</v>
      </c>
      <c r="H1723" s="14">
        <v>8.6454749503492678</v>
      </c>
      <c r="I1723" s="14">
        <v>7.5684938895941434</v>
      </c>
      <c r="J1723" s="14" t="s">
        <v>250</v>
      </c>
    </row>
    <row r="1724" spans="1:10" ht="15.75" x14ac:dyDescent="0.5">
      <c r="A1724" s="13" t="s">
        <v>332</v>
      </c>
      <c r="B1724" s="13" t="s">
        <v>402</v>
      </c>
      <c r="C1724" s="13" t="s">
        <v>400</v>
      </c>
      <c r="D1724" s="14">
        <v>1072.9916742877465</v>
      </c>
      <c r="E1724" s="14">
        <v>273.2836511087865</v>
      </c>
      <c r="F1724" s="14">
        <v>152.38269085457219</v>
      </c>
      <c r="G1724" s="14">
        <v>146.86119269310848</v>
      </c>
      <c r="H1724" s="14">
        <v>122.97194191645046</v>
      </c>
      <c r="I1724" s="14">
        <v>89.074159383194768</v>
      </c>
      <c r="J1724" s="14">
        <v>76.775744432614331</v>
      </c>
    </row>
    <row r="1725" spans="1:10" ht="15.75" x14ac:dyDescent="0.5">
      <c r="A1725" s="13" t="s">
        <v>332</v>
      </c>
      <c r="B1725" s="13" t="s">
        <v>403</v>
      </c>
      <c r="C1725" s="13" t="s">
        <v>400</v>
      </c>
      <c r="D1725" s="14" t="s">
        <v>250</v>
      </c>
      <c r="E1725" s="14" t="s">
        <v>250</v>
      </c>
      <c r="F1725" s="14">
        <v>23.47921900009743</v>
      </c>
      <c r="G1725" s="14">
        <v>23.479219000097427</v>
      </c>
      <c r="H1725" s="14">
        <v>4.7362491923276995</v>
      </c>
      <c r="I1725" s="14">
        <v>4.7362491923276995</v>
      </c>
      <c r="J1725" s="14" t="s">
        <v>250</v>
      </c>
    </row>
    <row r="1726" spans="1:10" ht="15.75" x14ac:dyDescent="0.5">
      <c r="A1726" s="13" t="s">
        <v>332</v>
      </c>
      <c r="B1726" s="13" t="s">
        <v>404</v>
      </c>
      <c r="C1726" s="13" t="s">
        <v>400</v>
      </c>
      <c r="D1726" s="14" t="s">
        <v>250</v>
      </c>
      <c r="E1726" s="14" t="s">
        <v>250</v>
      </c>
      <c r="F1726" s="14" t="s">
        <v>250</v>
      </c>
      <c r="G1726" s="14" t="s">
        <v>250</v>
      </c>
      <c r="H1726" s="14" t="s">
        <v>250</v>
      </c>
      <c r="I1726" s="14">
        <v>0.33069896914528529</v>
      </c>
      <c r="J1726" s="14">
        <v>0.33069896914528524</v>
      </c>
    </row>
    <row r="1727" spans="1:10" ht="15.75" x14ac:dyDescent="0.5">
      <c r="A1727" s="13" t="s">
        <v>332</v>
      </c>
      <c r="B1727" s="13" t="s">
        <v>421</v>
      </c>
      <c r="C1727" s="13" t="s">
        <v>400</v>
      </c>
      <c r="D1727" s="14" t="s">
        <v>250</v>
      </c>
      <c r="E1727" s="14" t="s">
        <v>250</v>
      </c>
      <c r="F1727" s="14" t="s">
        <v>250</v>
      </c>
      <c r="G1727" s="14">
        <v>739.29696360505443</v>
      </c>
      <c r="H1727" s="14">
        <v>1984.4071743674888</v>
      </c>
      <c r="I1727" s="14">
        <v>1971.2594402786046</v>
      </c>
      <c r="J1727" s="14">
        <v>331.07270936531131</v>
      </c>
    </row>
    <row r="1728" spans="1:10" ht="15.75" x14ac:dyDescent="0.5">
      <c r="A1728" s="13" t="s">
        <v>332</v>
      </c>
      <c r="B1728" s="13" t="s">
        <v>405</v>
      </c>
      <c r="C1728" s="13" t="s">
        <v>400</v>
      </c>
      <c r="D1728" s="14">
        <v>1259.3891290889942</v>
      </c>
      <c r="E1728" s="14">
        <v>1483.058927524904</v>
      </c>
      <c r="F1728" s="14">
        <v>1687.0370567430039</v>
      </c>
      <c r="G1728" s="14">
        <v>1689.0262172212169</v>
      </c>
      <c r="H1728" s="14">
        <v>1256.4269324547947</v>
      </c>
      <c r="I1728" s="14">
        <v>1057.7788532573918</v>
      </c>
      <c r="J1728" s="14">
        <v>3000.1720869476521</v>
      </c>
    </row>
    <row r="1729" spans="1:10" ht="15.75" x14ac:dyDescent="0.5">
      <c r="A1729" s="13" t="s">
        <v>332</v>
      </c>
      <c r="B1729" s="13" t="s">
        <v>406</v>
      </c>
      <c r="C1729" s="13" t="s">
        <v>400</v>
      </c>
      <c r="D1729" s="14">
        <v>23.479196814299335</v>
      </c>
      <c r="E1729" s="14">
        <v>28.233783405389346</v>
      </c>
      <c r="F1729" s="14">
        <v>42.809280730702753</v>
      </c>
      <c r="G1729" s="14">
        <v>43.654570710139922</v>
      </c>
      <c r="H1729" s="14">
        <v>45.479530073041424</v>
      </c>
      <c r="I1729" s="14">
        <v>50.002297015136932</v>
      </c>
      <c r="J1729" s="14">
        <v>51.424326822106259</v>
      </c>
    </row>
    <row r="1730" spans="1:10" ht="15.75" x14ac:dyDescent="0.5">
      <c r="A1730" s="13" t="s">
        <v>332</v>
      </c>
      <c r="B1730" s="13" t="s">
        <v>407</v>
      </c>
      <c r="C1730" s="13" t="s">
        <v>400</v>
      </c>
      <c r="D1730" s="14" t="s">
        <v>250</v>
      </c>
      <c r="E1730" s="14">
        <v>94.09011446110668</v>
      </c>
      <c r="F1730" s="14">
        <v>51.233409475448241</v>
      </c>
      <c r="G1730" s="14">
        <v>93.556611458162024</v>
      </c>
      <c r="H1730" s="14">
        <v>61.064596388167381</v>
      </c>
      <c r="I1730" s="14">
        <v>11.391901214232346</v>
      </c>
      <c r="J1730" s="14">
        <v>22.854070129357588</v>
      </c>
    </row>
    <row r="1731" spans="1:10" ht="15.75" x14ac:dyDescent="0.5">
      <c r="A1731" s="13" t="s">
        <v>332</v>
      </c>
      <c r="B1731" s="13" t="s">
        <v>408</v>
      </c>
      <c r="C1731" s="13" t="s">
        <v>400</v>
      </c>
      <c r="D1731" s="14">
        <v>46.892290321001219</v>
      </c>
      <c r="E1731" s="14">
        <v>29.948986481783781</v>
      </c>
      <c r="F1731" s="14">
        <v>22.58143370867014</v>
      </c>
      <c r="G1731" s="14">
        <v>27.780795085530123</v>
      </c>
      <c r="H1731" s="14">
        <v>24.20829991860457</v>
      </c>
      <c r="I1731" s="14">
        <v>17.833600001115439</v>
      </c>
      <c r="J1731" s="14">
        <v>28.082439121200462</v>
      </c>
    </row>
    <row r="1732" spans="1:10" ht="15.75" x14ac:dyDescent="0.5">
      <c r="A1732" s="13" t="s">
        <v>332</v>
      </c>
      <c r="B1732" s="13" t="s">
        <v>409</v>
      </c>
      <c r="C1732" s="13" t="s">
        <v>400</v>
      </c>
      <c r="D1732" s="14">
        <v>18.365704270000034</v>
      </c>
      <c r="E1732" s="14">
        <v>18.365704270000037</v>
      </c>
      <c r="F1732" s="14">
        <v>18.36570427000003</v>
      </c>
      <c r="G1732" s="14">
        <v>18.365704270000034</v>
      </c>
      <c r="H1732" s="14">
        <v>18.365704270000034</v>
      </c>
      <c r="I1732" s="14">
        <v>18.365704270000037</v>
      </c>
      <c r="J1732" s="14">
        <v>18.365704270000037</v>
      </c>
    </row>
    <row r="1733" spans="1:10" ht="15.75" x14ac:dyDescent="0.5">
      <c r="A1733" s="13" t="s">
        <v>332</v>
      </c>
      <c r="B1733" s="13" t="s">
        <v>410</v>
      </c>
      <c r="C1733" s="13" t="s">
        <v>400</v>
      </c>
      <c r="D1733" s="14">
        <v>245.79356253202218</v>
      </c>
      <c r="E1733" s="14">
        <v>245.16619526130785</v>
      </c>
      <c r="F1733" s="14">
        <v>245.83812477490076</v>
      </c>
      <c r="G1733" s="14">
        <v>245.97614601548725</v>
      </c>
      <c r="H1733" s="14">
        <v>246.14974236474816</v>
      </c>
      <c r="I1733" s="14">
        <v>245.98781456262208</v>
      </c>
      <c r="J1733" s="14">
        <v>246.08542843379536</v>
      </c>
    </row>
    <row r="1734" spans="1:10" ht="15.75" x14ac:dyDescent="0.5">
      <c r="A1734" s="13" t="s">
        <v>332</v>
      </c>
      <c r="B1734" s="13" t="s">
        <v>411</v>
      </c>
      <c r="C1734" s="13" t="s">
        <v>400</v>
      </c>
      <c r="D1734" s="14">
        <v>7.1394000000000144</v>
      </c>
      <c r="E1734" s="14">
        <v>3.5593489051094975</v>
      </c>
      <c r="F1734" s="14" t="s">
        <v>250</v>
      </c>
      <c r="G1734" s="14" t="s">
        <v>250</v>
      </c>
      <c r="H1734" s="14" t="s">
        <v>250</v>
      </c>
      <c r="I1734" s="14" t="s">
        <v>250</v>
      </c>
      <c r="J1734" s="14" t="s">
        <v>250</v>
      </c>
    </row>
    <row r="1735" spans="1:10" ht="15.75" x14ac:dyDescent="0.5">
      <c r="A1735" s="13" t="s">
        <v>332</v>
      </c>
      <c r="B1735" s="13" t="s">
        <v>412</v>
      </c>
      <c r="C1735" s="13" t="s">
        <v>400</v>
      </c>
      <c r="D1735" s="14">
        <v>760.72545968400186</v>
      </c>
      <c r="E1735" s="14">
        <v>746.30417202090325</v>
      </c>
      <c r="F1735" s="14">
        <v>517.71604014843751</v>
      </c>
      <c r="G1735" s="14">
        <v>558.87532517549562</v>
      </c>
      <c r="H1735" s="14">
        <v>548.77188580623215</v>
      </c>
      <c r="I1735" s="14">
        <v>571.40167462089084</v>
      </c>
      <c r="J1735" s="14">
        <v>551.306004811408</v>
      </c>
    </row>
    <row r="1736" spans="1:10" ht="15.75" x14ac:dyDescent="0.5">
      <c r="A1736" s="13" t="s">
        <v>332</v>
      </c>
      <c r="B1736" s="13" t="s">
        <v>413</v>
      </c>
      <c r="C1736" s="13" t="s">
        <v>400</v>
      </c>
      <c r="D1736" s="14">
        <v>23.702927619886133</v>
      </c>
      <c r="E1736" s="14">
        <v>27.499022040257096</v>
      </c>
      <c r="F1736" s="14">
        <v>11.272473166781197</v>
      </c>
      <c r="G1736" s="14">
        <v>4.5495106881479019</v>
      </c>
      <c r="H1736" s="14">
        <v>2.1746351645082704</v>
      </c>
      <c r="I1736" s="14">
        <v>1.0006461166822451</v>
      </c>
      <c r="J1736" s="14">
        <v>1.0452216674718706</v>
      </c>
    </row>
    <row r="1737" spans="1:10" ht="15.75" x14ac:dyDescent="0.5">
      <c r="A1737" s="13" t="s">
        <v>332</v>
      </c>
      <c r="B1737" s="13" t="s">
        <v>414</v>
      </c>
      <c r="C1737" s="13" t="s">
        <v>400</v>
      </c>
      <c r="D1737" s="14">
        <v>0.68039077051095009</v>
      </c>
      <c r="E1737" s="14">
        <v>24.088891780416816</v>
      </c>
      <c r="F1737" s="14">
        <v>94.589684097101667</v>
      </c>
      <c r="G1737" s="14">
        <v>188.519075567713</v>
      </c>
      <c r="H1737" s="14">
        <v>228.11983575236192</v>
      </c>
      <c r="I1737" s="14">
        <v>228.69688190331479</v>
      </c>
      <c r="J1737" s="14">
        <v>229.10905772542455</v>
      </c>
    </row>
    <row r="1738" spans="1:10" ht="15.75" x14ac:dyDescent="0.5">
      <c r="A1738" s="13" t="s">
        <v>332</v>
      </c>
      <c r="B1738" s="13" t="s">
        <v>415</v>
      </c>
      <c r="C1738" s="13" t="s">
        <v>400</v>
      </c>
      <c r="D1738" s="14">
        <v>440.53124483255556</v>
      </c>
      <c r="E1738" s="14">
        <v>870.25819246830861</v>
      </c>
      <c r="F1738" s="14">
        <v>1350.4157127422504</v>
      </c>
      <c r="G1738" s="14">
        <v>1416.9352775587056</v>
      </c>
      <c r="H1738" s="14">
        <v>1699.2215559402205</v>
      </c>
      <c r="I1738" s="14">
        <v>2112.2331599744343</v>
      </c>
      <c r="J1738" s="14">
        <v>2159.3315362110779</v>
      </c>
    </row>
    <row r="1739" spans="1:10" ht="15.75" x14ac:dyDescent="0.5">
      <c r="A1739" s="13" t="s">
        <v>332</v>
      </c>
      <c r="B1739" s="13" t="s">
        <v>416</v>
      </c>
      <c r="C1739" s="13" t="s">
        <v>400</v>
      </c>
      <c r="D1739" s="14" t="s">
        <v>250</v>
      </c>
      <c r="E1739" s="14">
        <v>54.174742594980962</v>
      </c>
      <c r="F1739" s="14">
        <v>66.675949052097479</v>
      </c>
      <c r="G1739" s="14">
        <v>76.801435170202126</v>
      </c>
      <c r="H1739" s="14">
        <v>77.990654991853731</v>
      </c>
      <c r="I1739" s="14">
        <v>82.683057309487651</v>
      </c>
      <c r="J1739" s="14">
        <v>94.727837483420956</v>
      </c>
    </row>
    <row r="1740" spans="1:10" ht="15.75" x14ac:dyDescent="0.5">
      <c r="A1740" s="13" t="s">
        <v>332</v>
      </c>
      <c r="B1740" s="13" t="s">
        <v>417</v>
      </c>
      <c r="C1740" s="13" t="s">
        <v>400</v>
      </c>
      <c r="D1740" s="14">
        <v>187.48709633408697</v>
      </c>
      <c r="E1740" s="14">
        <v>303.04243707946961</v>
      </c>
      <c r="F1740" s="14">
        <v>346.45038495475615</v>
      </c>
      <c r="G1740" s="14">
        <v>427.59824444692947</v>
      </c>
      <c r="H1740" s="14">
        <v>652.86565452684397</v>
      </c>
      <c r="I1740" s="14">
        <v>1502.397147950008</v>
      </c>
      <c r="J1740" s="14">
        <v>1693.3161645186617</v>
      </c>
    </row>
    <row r="1741" spans="1:10" ht="15.75" x14ac:dyDescent="0.5">
      <c r="A1741" s="13" t="s">
        <v>332</v>
      </c>
      <c r="B1741" s="13" t="s">
        <v>418</v>
      </c>
      <c r="C1741" s="13" t="s">
        <v>400</v>
      </c>
      <c r="D1741" s="14">
        <v>3.184175173101953</v>
      </c>
      <c r="E1741" s="14">
        <v>3.184175173101953</v>
      </c>
      <c r="F1741" s="14">
        <v>3.184175173101953</v>
      </c>
      <c r="G1741" s="14">
        <v>3.1841751731019534</v>
      </c>
      <c r="H1741" s="14">
        <v>3.1841751731019539</v>
      </c>
      <c r="I1741" s="14">
        <v>3.1841751731019539</v>
      </c>
      <c r="J1741" s="14">
        <v>3.184175173101953</v>
      </c>
    </row>
    <row r="1742" spans="1:10" ht="15.75" x14ac:dyDescent="0.5">
      <c r="A1742" s="13" t="s">
        <v>332</v>
      </c>
      <c r="B1742" s="13" t="s">
        <v>419</v>
      </c>
      <c r="C1742" s="13" t="s">
        <v>400</v>
      </c>
      <c r="D1742" s="14">
        <v>0.54465920264079504</v>
      </c>
      <c r="E1742" s="14">
        <v>8.9230026403796163</v>
      </c>
      <c r="F1742" s="14">
        <v>16.85758637803383</v>
      </c>
      <c r="G1742" s="14">
        <v>22.12304590277866</v>
      </c>
      <c r="H1742" s="14">
        <v>39.208718275684767</v>
      </c>
      <c r="I1742" s="14">
        <v>80.266396819074757</v>
      </c>
      <c r="J1742" s="14">
        <v>86.53246051599902</v>
      </c>
    </row>
    <row r="1743" spans="1:10" ht="15.75" x14ac:dyDescent="0.5">
      <c r="A1743" s="13" t="s">
        <v>332</v>
      </c>
      <c r="B1743" s="13" t="s">
        <v>420</v>
      </c>
      <c r="C1743" s="13" t="s">
        <v>400</v>
      </c>
      <c r="D1743" s="14">
        <v>-13.987252957808401</v>
      </c>
      <c r="E1743" s="14">
        <v>-13.807700676432777</v>
      </c>
      <c r="F1743" s="14">
        <v>-13.219726013213787</v>
      </c>
      <c r="G1743" s="14">
        <v>-12.308977226620337</v>
      </c>
      <c r="H1743" s="14">
        <v>-15.905406054041201</v>
      </c>
      <c r="I1743" s="14">
        <v>-16.523662688497268</v>
      </c>
      <c r="J1743" s="14">
        <v>-17.387865270497613</v>
      </c>
    </row>
    <row r="1744" spans="1:10" ht="15.75" x14ac:dyDescent="0.5">
      <c r="A1744" s="13" t="s">
        <v>333</v>
      </c>
      <c r="B1744" s="13" t="s">
        <v>399</v>
      </c>
      <c r="C1744" s="13" t="s">
        <v>400</v>
      </c>
      <c r="D1744" s="14">
        <v>7.2499064625597898</v>
      </c>
      <c r="E1744" s="14">
        <v>4.2389343065693544E-2</v>
      </c>
      <c r="F1744" s="14">
        <v>0.51246000000000125</v>
      </c>
      <c r="G1744" s="14">
        <v>0.89686895981731896</v>
      </c>
      <c r="H1744" s="14">
        <v>0.80621008031790486</v>
      </c>
      <c r="I1744" s="14">
        <v>0.18914400000000031</v>
      </c>
      <c r="J1744" s="14">
        <v>3.599913114085334</v>
      </c>
    </row>
    <row r="1745" spans="1:10" ht="15.75" x14ac:dyDescent="0.5">
      <c r="A1745" s="13" t="s">
        <v>333</v>
      </c>
      <c r="B1745" s="13" t="s">
        <v>401</v>
      </c>
      <c r="C1745" s="13" t="s">
        <v>400</v>
      </c>
      <c r="D1745" s="14" t="s">
        <v>250</v>
      </c>
      <c r="E1745" s="14" t="s">
        <v>250</v>
      </c>
      <c r="F1745" s="14">
        <v>114.52215779955951</v>
      </c>
      <c r="G1745" s="14">
        <v>114.52215779955941</v>
      </c>
      <c r="H1745" s="14">
        <v>25.761306047329224</v>
      </c>
      <c r="I1745" s="14">
        <v>15.49986447830261</v>
      </c>
      <c r="J1745" s="14" t="s">
        <v>250</v>
      </c>
    </row>
    <row r="1746" spans="1:10" ht="15.75" x14ac:dyDescent="0.5">
      <c r="A1746" s="13" t="s">
        <v>333</v>
      </c>
      <c r="B1746" s="13" t="s">
        <v>402</v>
      </c>
      <c r="C1746" s="13" t="s">
        <v>400</v>
      </c>
      <c r="D1746" s="14">
        <v>1072.9916742877465</v>
      </c>
      <c r="E1746" s="14">
        <v>278.49742974378034</v>
      </c>
      <c r="F1746" s="14">
        <v>132.58689612017864</v>
      </c>
      <c r="G1746" s="14">
        <v>91.657154974389684</v>
      </c>
      <c r="H1746" s="14">
        <v>70.928799461178897</v>
      </c>
      <c r="I1746" s="14">
        <v>45.006730511895668</v>
      </c>
      <c r="J1746" s="14" t="s">
        <v>250</v>
      </c>
    </row>
    <row r="1747" spans="1:10" ht="15.75" x14ac:dyDescent="0.5">
      <c r="A1747" s="13" t="s">
        <v>333</v>
      </c>
      <c r="B1747" s="13" t="s">
        <v>403</v>
      </c>
      <c r="C1747" s="13" t="s">
        <v>400</v>
      </c>
      <c r="D1747" s="14" t="s">
        <v>250</v>
      </c>
      <c r="E1747" s="14" t="s">
        <v>250</v>
      </c>
      <c r="F1747" s="14">
        <v>341.906365773049</v>
      </c>
      <c r="G1747" s="14">
        <v>341.906365773049</v>
      </c>
      <c r="H1747" s="14">
        <v>70.99208355712075</v>
      </c>
      <c r="I1747" s="14">
        <v>70.029182965120725</v>
      </c>
      <c r="J1747" s="14">
        <v>29.22233012484087</v>
      </c>
    </row>
    <row r="1748" spans="1:10" ht="15.75" x14ac:dyDescent="0.5">
      <c r="A1748" s="13" t="s">
        <v>333</v>
      </c>
      <c r="B1748" s="13" t="s">
        <v>404</v>
      </c>
      <c r="C1748" s="13" t="s">
        <v>400</v>
      </c>
      <c r="D1748" s="14" t="s">
        <v>250</v>
      </c>
      <c r="E1748" s="14" t="s">
        <v>250</v>
      </c>
      <c r="F1748" s="14" t="s">
        <v>250</v>
      </c>
      <c r="G1748" s="14" t="s">
        <v>250</v>
      </c>
      <c r="H1748" s="14" t="s">
        <v>250</v>
      </c>
      <c r="I1748" s="14">
        <v>0.33069896914528524</v>
      </c>
      <c r="J1748" s="14">
        <v>67.688702946743732</v>
      </c>
    </row>
    <row r="1749" spans="1:10" ht="15.75" x14ac:dyDescent="0.5">
      <c r="A1749" s="13" t="s">
        <v>333</v>
      </c>
      <c r="B1749" s="13" t="s">
        <v>421</v>
      </c>
      <c r="C1749" s="13" t="s">
        <v>400</v>
      </c>
      <c r="D1749" s="14" t="s">
        <v>250</v>
      </c>
      <c r="E1749" s="14" t="s">
        <v>250</v>
      </c>
      <c r="F1749" s="14" t="s">
        <v>250</v>
      </c>
      <c r="G1749" s="14">
        <v>550.8234066715105</v>
      </c>
      <c r="H1749" s="14">
        <v>1481.6422559093028</v>
      </c>
      <c r="I1749" s="14">
        <v>1484.7234042922075</v>
      </c>
      <c r="J1749" s="14">
        <v>1238.4368743422576</v>
      </c>
    </row>
    <row r="1750" spans="1:10" ht="15.75" x14ac:dyDescent="0.5">
      <c r="A1750" s="13" t="s">
        <v>333</v>
      </c>
      <c r="B1750" s="13" t="s">
        <v>405</v>
      </c>
      <c r="C1750" s="13" t="s">
        <v>400</v>
      </c>
      <c r="D1750" s="14">
        <v>1259.3891290889944</v>
      </c>
      <c r="E1750" s="14">
        <v>1474.7241204744541</v>
      </c>
      <c r="F1750" s="14">
        <v>1248.3372068807755</v>
      </c>
      <c r="G1750" s="14">
        <v>1307.3759154708082</v>
      </c>
      <c r="H1750" s="14">
        <v>918.35696319436033</v>
      </c>
      <c r="I1750" s="14">
        <v>487.91864815786391</v>
      </c>
      <c r="J1750" s="14">
        <v>164.23832615632472</v>
      </c>
    </row>
    <row r="1751" spans="1:10" ht="15.75" x14ac:dyDescent="0.5">
      <c r="A1751" s="13" t="s">
        <v>333</v>
      </c>
      <c r="B1751" s="13" t="s">
        <v>406</v>
      </c>
      <c r="C1751" s="13" t="s">
        <v>400</v>
      </c>
      <c r="D1751" s="14">
        <v>23.479196814299332</v>
      </c>
      <c r="E1751" s="14">
        <v>30.413111392701445</v>
      </c>
      <c r="F1751" s="14">
        <v>44.830818247374097</v>
      </c>
      <c r="G1751" s="14">
        <v>53.061839101086321</v>
      </c>
      <c r="H1751" s="14">
        <v>67.372811637131278</v>
      </c>
      <c r="I1751" s="14">
        <v>71.802535332053068</v>
      </c>
      <c r="J1751" s="14">
        <v>95.121477815852145</v>
      </c>
    </row>
    <row r="1752" spans="1:10" ht="15.75" x14ac:dyDescent="0.5">
      <c r="A1752" s="13" t="s">
        <v>333</v>
      </c>
      <c r="B1752" s="13" t="s">
        <v>407</v>
      </c>
      <c r="C1752" s="13" t="s">
        <v>400</v>
      </c>
      <c r="D1752" s="14" t="s">
        <v>250</v>
      </c>
      <c r="E1752" s="14">
        <v>95.059398514222238</v>
      </c>
      <c r="F1752" s="14">
        <v>57.178342219436274</v>
      </c>
      <c r="G1752" s="14">
        <v>185.49556965968719</v>
      </c>
      <c r="H1752" s="14">
        <v>148.48257913400414</v>
      </c>
      <c r="I1752" s="14">
        <v>51.873453625643229</v>
      </c>
      <c r="J1752" s="14">
        <v>210.0831248568802</v>
      </c>
    </row>
    <row r="1753" spans="1:10" ht="15.75" x14ac:dyDescent="0.5">
      <c r="A1753" s="13" t="s">
        <v>333</v>
      </c>
      <c r="B1753" s="13" t="s">
        <v>408</v>
      </c>
      <c r="C1753" s="13" t="s">
        <v>400</v>
      </c>
      <c r="D1753" s="14">
        <v>46.892290321001234</v>
      </c>
      <c r="E1753" s="14">
        <v>30.058832901488667</v>
      </c>
      <c r="F1753" s="14">
        <v>22.185942071305156</v>
      </c>
      <c r="G1753" s="14">
        <v>43.33526075064151</v>
      </c>
      <c r="H1753" s="14">
        <v>42.201590746269346</v>
      </c>
      <c r="I1753" s="14">
        <v>34.855649232820312</v>
      </c>
      <c r="J1753" s="14">
        <v>44.391557116079532</v>
      </c>
    </row>
    <row r="1754" spans="1:10" ht="15.75" x14ac:dyDescent="0.5">
      <c r="A1754" s="13" t="s">
        <v>333</v>
      </c>
      <c r="B1754" s="13" t="s">
        <v>409</v>
      </c>
      <c r="C1754" s="13" t="s">
        <v>400</v>
      </c>
      <c r="D1754" s="14">
        <v>18.365704270000034</v>
      </c>
      <c r="E1754" s="14">
        <v>18.365704270000037</v>
      </c>
      <c r="F1754" s="14">
        <v>18.365704270000034</v>
      </c>
      <c r="G1754" s="14">
        <v>18.365704270000034</v>
      </c>
      <c r="H1754" s="14">
        <v>18.365704270000041</v>
      </c>
      <c r="I1754" s="14">
        <v>18.365704270000041</v>
      </c>
      <c r="J1754" s="14">
        <v>18.365704270000045</v>
      </c>
    </row>
    <row r="1755" spans="1:10" ht="15.75" x14ac:dyDescent="0.5">
      <c r="A1755" s="13" t="s">
        <v>333</v>
      </c>
      <c r="B1755" s="13" t="s">
        <v>410</v>
      </c>
      <c r="C1755" s="13" t="s">
        <v>400</v>
      </c>
      <c r="D1755" s="14">
        <v>245.79356253202207</v>
      </c>
      <c r="E1755" s="14">
        <v>245.09439520393502</v>
      </c>
      <c r="F1755" s="14">
        <v>246.00152562072384</v>
      </c>
      <c r="G1755" s="14">
        <v>246.0195384476954</v>
      </c>
      <c r="H1755" s="14">
        <v>246.09463346343995</v>
      </c>
      <c r="I1755" s="14">
        <v>246.03684058372701</v>
      </c>
      <c r="J1755" s="14">
        <v>246.16997594139107</v>
      </c>
    </row>
    <row r="1756" spans="1:10" ht="15.75" x14ac:dyDescent="0.5">
      <c r="A1756" s="13" t="s">
        <v>333</v>
      </c>
      <c r="B1756" s="13" t="s">
        <v>411</v>
      </c>
      <c r="C1756" s="13" t="s">
        <v>400</v>
      </c>
      <c r="D1756" s="14">
        <v>7.139400000000018</v>
      </c>
      <c r="E1756" s="14">
        <v>3.5593489051094971</v>
      </c>
      <c r="F1756" s="14" t="s">
        <v>250</v>
      </c>
      <c r="G1756" s="14" t="s">
        <v>250</v>
      </c>
      <c r="H1756" s="14" t="s">
        <v>250</v>
      </c>
      <c r="I1756" s="14" t="s">
        <v>250</v>
      </c>
      <c r="J1756" s="14" t="s">
        <v>250</v>
      </c>
    </row>
    <row r="1757" spans="1:10" ht="15.75" x14ac:dyDescent="0.5">
      <c r="A1757" s="13" t="s">
        <v>333</v>
      </c>
      <c r="B1757" s="13" t="s">
        <v>412</v>
      </c>
      <c r="C1757" s="13" t="s">
        <v>400</v>
      </c>
      <c r="D1757" s="14">
        <v>760.72545968400186</v>
      </c>
      <c r="E1757" s="14">
        <v>744.66764551141591</v>
      </c>
      <c r="F1757" s="14">
        <v>621.62362557155279</v>
      </c>
      <c r="G1757" s="14">
        <v>695.27388880396768</v>
      </c>
      <c r="H1757" s="14">
        <v>698.54987275761175</v>
      </c>
      <c r="I1757" s="14">
        <v>600.01401686401437</v>
      </c>
      <c r="J1757" s="14">
        <v>674.75585278422943</v>
      </c>
    </row>
    <row r="1758" spans="1:10" ht="15.75" x14ac:dyDescent="0.5">
      <c r="A1758" s="13" t="s">
        <v>333</v>
      </c>
      <c r="B1758" s="13" t="s">
        <v>413</v>
      </c>
      <c r="C1758" s="13" t="s">
        <v>400</v>
      </c>
      <c r="D1758" s="14">
        <v>23.702927619886136</v>
      </c>
      <c r="E1758" s="14">
        <v>28.918348776916609</v>
      </c>
      <c r="F1758" s="14">
        <v>9.9931599004454021</v>
      </c>
      <c r="G1758" s="14">
        <v>3.1766664032604552</v>
      </c>
      <c r="H1758" s="14">
        <v>1.2169821169110446</v>
      </c>
      <c r="I1758" s="14">
        <v>0.64231975745606551</v>
      </c>
      <c r="J1758" s="14">
        <v>5.9597080291970833E-3</v>
      </c>
    </row>
    <row r="1759" spans="1:10" ht="15.75" x14ac:dyDescent="0.5">
      <c r="A1759" s="13" t="s">
        <v>333</v>
      </c>
      <c r="B1759" s="13" t="s">
        <v>414</v>
      </c>
      <c r="C1759" s="13" t="s">
        <v>400</v>
      </c>
      <c r="D1759" s="14">
        <v>0.6803907705109502</v>
      </c>
      <c r="E1759" s="14">
        <v>24.076437566541841</v>
      </c>
      <c r="F1759" s="14">
        <v>94.587442582836104</v>
      </c>
      <c r="G1759" s="14">
        <v>188.57921570150265</v>
      </c>
      <c r="H1759" s="14">
        <v>228.13610164824254</v>
      </c>
      <c r="I1759" s="14">
        <v>228.71319521175877</v>
      </c>
      <c r="J1759" s="14">
        <v>229.12540489998526</v>
      </c>
    </row>
    <row r="1760" spans="1:10" ht="15.75" x14ac:dyDescent="0.5">
      <c r="A1760" s="13" t="s">
        <v>333</v>
      </c>
      <c r="B1760" s="13" t="s">
        <v>415</v>
      </c>
      <c r="C1760" s="13" t="s">
        <v>400</v>
      </c>
      <c r="D1760" s="14">
        <v>440.5312448325555</v>
      </c>
      <c r="E1760" s="14">
        <v>870.17287886717338</v>
      </c>
      <c r="F1760" s="14">
        <v>1353.8673069780798</v>
      </c>
      <c r="G1760" s="14">
        <v>1441.7817984269136</v>
      </c>
      <c r="H1760" s="14">
        <v>1925.1325061457344</v>
      </c>
      <c r="I1760" s="14">
        <v>2857.4069825141382</v>
      </c>
      <c r="J1760" s="14">
        <v>3279.6332034085463</v>
      </c>
    </row>
    <row r="1761" spans="1:10" ht="15.75" x14ac:dyDescent="0.5">
      <c r="A1761" s="13" t="s">
        <v>333</v>
      </c>
      <c r="B1761" s="13" t="s">
        <v>416</v>
      </c>
      <c r="C1761" s="13" t="s">
        <v>400</v>
      </c>
      <c r="D1761" s="14" t="s">
        <v>250</v>
      </c>
      <c r="E1761" s="14">
        <v>54.174742594980991</v>
      </c>
      <c r="F1761" s="14">
        <v>66.675949052097451</v>
      </c>
      <c r="G1761" s="14">
        <v>76.801435170202069</v>
      </c>
      <c r="H1761" s="14">
        <v>77.990654991853731</v>
      </c>
      <c r="I1761" s="14">
        <v>82.683057309487609</v>
      </c>
      <c r="J1761" s="14">
        <v>94.72783748342097</v>
      </c>
    </row>
    <row r="1762" spans="1:10" ht="15.75" x14ac:dyDescent="0.5">
      <c r="A1762" s="13" t="s">
        <v>333</v>
      </c>
      <c r="B1762" s="13" t="s">
        <v>417</v>
      </c>
      <c r="C1762" s="13" t="s">
        <v>400</v>
      </c>
      <c r="D1762" s="14">
        <v>187.48709633408683</v>
      </c>
      <c r="E1762" s="14">
        <v>302.82975905201886</v>
      </c>
      <c r="F1762" s="14">
        <v>345.91937946823333</v>
      </c>
      <c r="G1762" s="14">
        <v>418.11403692081001</v>
      </c>
      <c r="H1762" s="14">
        <v>925.79159295559191</v>
      </c>
      <c r="I1762" s="14">
        <v>1985.9174537784377</v>
      </c>
      <c r="J1762" s="14">
        <v>2206.8634201980549</v>
      </c>
    </row>
    <row r="1763" spans="1:10" ht="15.75" x14ac:dyDescent="0.5">
      <c r="A1763" s="13" t="s">
        <v>333</v>
      </c>
      <c r="B1763" s="13" t="s">
        <v>418</v>
      </c>
      <c r="C1763" s="13" t="s">
        <v>400</v>
      </c>
      <c r="D1763" s="14">
        <v>3.1841751731019534</v>
      </c>
      <c r="E1763" s="14">
        <v>3.1841751731019539</v>
      </c>
      <c r="F1763" s="14">
        <v>3.1841751731019534</v>
      </c>
      <c r="G1763" s="14">
        <v>3.1841751731019534</v>
      </c>
      <c r="H1763" s="14">
        <v>3.1841751731019539</v>
      </c>
      <c r="I1763" s="14">
        <v>3.1841751731019534</v>
      </c>
      <c r="J1763" s="14">
        <v>3.184175173101953</v>
      </c>
    </row>
    <row r="1764" spans="1:10" ht="15.75" x14ac:dyDescent="0.5">
      <c r="A1764" s="13" t="s">
        <v>333</v>
      </c>
      <c r="B1764" s="13" t="s">
        <v>419</v>
      </c>
      <c r="C1764" s="13" t="s">
        <v>400</v>
      </c>
      <c r="D1764" s="14">
        <v>0.54465920264079504</v>
      </c>
      <c r="E1764" s="14">
        <v>8.9526377055391002</v>
      </c>
      <c r="F1764" s="14">
        <v>20.732994460956284</v>
      </c>
      <c r="G1764" s="14">
        <v>31.094100786328109</v>
      </c>
      <c r="H1764" s="14">
        <v>86.609646539458623</v>
      </c>
      <c r="I1764" s="14">
        <v>446.94904108112183</v>
      </c>
      <c r="J1764" s="14">
        <v>933.21914294215753</v>
      </c>
    </row>
    <row r="1765" spans="1:10" ht="15.75" x14ac:dyDescent="0.5">
      <c r="A1765" s="13" t="s">
        <v>333</v>
      </c>
      <c r="B1765" s="13" t="s">
        <v>420</v>
      </c>
      <c r="C1765" s="13" t="s">
        <v>400</v>
      </c>
      <c r="D1765" s="14">
        <v>-13.987252957808412</v>
      </c>
      <c r="E1765" s="14">
        <v>-13.920911964132564</v>
      </c>
      <c r="F1765" s="14">
        <v>-13.668557632925562</v>
      </c>
      <c r="G1765" s="14">
        <v>-11.838302831776115</v>
      </c>
      <c r="H1765" s="14">
        <v>-14.496966519197542</v>
      </c>
      <c r="I1765" s="14">
        <v>-15.246778770720258</v>
      </c>
      <c r="J1765" s="14">
        <v>-16.232875511127379</v>
      </c>
    </row>
    <row r="1766" spans="1:10" ht="15.75" x14ac:dyDescent="0.5">
      <c r="A1766" s="13" t="s">
        <v>334</v>
      </c>
      <c r="B1766" s="13" t="s">
        <v>399</v>
      </c>
      <c r="C1766" s="13" t="s">
        <v>400</v>
      </c>
      <c r="D1766" s="14">
        <v>7.249906462559788</v>
      </c>
      <c r="E1766" s="14">
        <v>4.2389343065693544E-2</v>
      </c>
      <c r="F1766" s="14">
        <v>0.51246000000000114</v>
      </c>
      <c r="G1766" s="14">
        <v>0.88375708029197275</v>
      </c>
      <c r="H1766" s="14">
        <v>0.81398049635036651</v>
      </c>
      <c r="I1766" s="14">
        <v>0.49098621897810313</v>
      </c>
      <c r="J1766" s="14">
        <v>3.2943838248175252</v>
      </c>
    </row>
    <row r="1767" spans="1:10" ht="15.75" x14ac:dyDescent="0.5">
      <c r="A1767" s="13" t="s">
        <v>334</v>
      </c>
      <c r="B1767" s="13" t="s">
        <v>401</v>
      </c>
      <c r="C1767" s="13" t="s">
        <v>400</v>
      </c>
      <c r="D1767" s="14" t="s">
        <v>250</v>
      </c>
      <c r="E1767" s="14" t="s">
        <v>250</v>
      </c>
      <c r="F1767" s="14">
        <v>116.1907605779012</v>
      </c>
      <c r="G1767" s="14">
        <v>116.1907605779012</v>
      </c>
      <c r="H1767" s="14">
        <v>26.375637862243742</v>
      </c>
      <c r="I1767" s="14">
        <v>15.575702792197966</v>
      </c>
      <c r="J1767" s="14" t="s">
        <v>250</v>
      </c>
    </row>
    <row r="1768" spans="1:10" ht="15.75" x14ac:dyDescent="0.5">
      <c r="A1768" s="13" t="s">
        <v>334</v>
      </c>
      <c r="B1768" s="13" t="s">
        <v>402</v>
      </c>
      <c r="C1768" s="13" t="s">
        <v>400</v>
      </c>
      <c r="D1768" s="14">
        <v>1072.9916742877463</v>
      </c>
      <c r="E1768" s="14">
        <v>278.82595755319301</v>
      </c>
      <c r="F1768" s="14">
        <v>131.88255212810463</v>
      </c>
      <c r="G1768" s="14">
        <v>91.40302838554004</v>
      </c>
      <c r="H1768" s="14">
        <v>69.056449270370862</v>
      </c>
      <c r="I1768" s="14">
        <v>42.178844511788711</v>
      </c>
      <c r="J1768" s="14" t="s">
        <v>250</v>
      </c>
    </row>
    <row r="1769" spans="1:10" ht="15.75" x14ac:dyDescent="0.5">
      <c r="A1769" s="13" t="s">
        <v>334</v>
      </c>
      <c r="B1769" s="13" t="s">
        <v>403</v>
      </c>
      <c r="C1769" s="13" t="s">
        <v>400</v>
      </c>
      <c r="D1769" s="14" t="s">
        <v>250</v>
      </c>
      <c r="E1769" s="14" t="s">
        <v>250</v>
      </c>
      <c r="F1769" s="14">
        <v>357.07931419073213</v>
      </c>
      <c r="G1769" s="14">
        <v>357.07931419073225</v>
      </c>
      <c r="H1769" s="14">
        <v>74.128635756889338</v>
      </c>
      <c r="I1769" s="14">
        <v>73.165735164889355</v>
      </c>
      <c r="J1769" s="14">
        <v>21.989960008631904</v>
      </c>
    </row>
    <row r="1770" spans="1:10" ht="15.75" x14ac:dyDescent="0.5">
      <c r="A1770" s="13" t="s">
        <v>334</v>
      </c>
      <c r="B1770" s="13" t="s">
        <v>404</v>
      </c>
      <c r="C1770" s="13" t="s">
        <v>400</v>
      </c>
      <c r="D1770" s="14" t="s">
        <v>250</v>
      </c>
      <c r="E1770" s="14" t="s">
        <v>250</v>
      </c>
      <c r="F1770" s="14" t="s">
        <v>250</v>
      </c>
      <c r="G1770" s="14" t="s">
        <v>250</v>
      </c>
      <c r="H1770" s="14" t="s">
        <v>250</v>
      </c>
      <c r="I1770" s="14">
        <v>0.33069896914528529</v>
      </c>
      <c r="J1770" s="14">
        <v>48.606587905422835</v>
      </c>
    </row>
    <row r="1771" spans="1:10" ht="15.75" x14ac:dyDescent="0.5">
      <c r="A1771" s="13" t="s">
        <v>334</v>
      </c>
      <c r="B1771" s="13" t="s">
        <v>421</v>
      </c>
      <c r="C1771" s="13" t="s">
        <v>400</v>
      </c>
      <c r="D1771" s="14" t="s">
        <v>250</v>
      </c>
      <c r="E1771" s="14" t="s">
        <v>250</v>
      </c>
      <c r="F1771" s="14" t="s">
        <v>250</v>
      </c>
      <c r="G1771" s="14">
        <v>535.25806502187675</v>
      </c>
      <c r="H1771" s="14">
        <v>1441.3363208372389</v>
      </c>
      <c r="I1771" s="14">
        <v>1439.8832604042298</v>
      </c>
      <c r="J1771" s="14">
        <v>1011.1004009642882</v>
      </c>
    </row>
    <row r="1772" spans="1:10" ht="15.75" x14ac:dyDescent="0.5">
      <c r="A1772" s="13" t="s">
        <v>334</v>
      </c>
      <c r="B1772" s="13" t="s">
        <v>405</v>
      </c>
      <c r="C1772" s="13" t="s">
        <v>400</v>
      </c>
      <c r="D1772" s="14">
        <v>1259.3891290889947</v>
      </c>
      <c r="E1772" s="14">
        <v>1475.4978993434306</v>
      </c>
      <c r="F1772" s="14">
        <v>1234.350364104369</v>
      </c>
      <c r="G1772" s="14">
        <v>1304.2868911939065</v>
      </c>
      <c r="H1772" s="14">
        <v>922.60447251752407</v>
      </c>
      <c r="I1772" s="14">
        <v>493.24263182271068</v>
      </c>
      <c r="J1772" s="14">
        <v>159.29711746867349</v>
      </c>
    </row>
    <row r="1773" spans="1:10" ht="15.75" x14ac:dyDescent="0.5">
      <c r="A1773" s="13" t="s">
        <v>334</v>
      </c>
      <c r="B1773" s="13" t="s">
        <v>406</v>
      </c>
      <c r="C1773" s="13" t="s">
        <v>400</v>
      </c>
      <c r="D1773" s="14">
        <v>23.479196814299328</v>
      </c>
      <c r="E1773" s="14">
        <v>30.381342184517031</v>
      </c>
      <c r="F1773" s="14">
        <v>44.737493630124767</v>
      </c>
      <c r="G1773" s="14">
        <v>53.749045291532411</v>
      </c>
      <c r="H1773" s="14">
        <v>69.20483897154125</v>
      </c>
      <c r="I1773" s="14">
        <v>74.893389437284242</v>
      </c>
      <c r="J1773" s="14">
        <v>103.85839664451004</v>
      </c>
    </row>
    <row r="1774" spans="1:10" ht="15.75" x14ac:dyDescent="0.5">
      <c r="A1774" s="13" t="s">
        <v>334</v>
      </c>
      <c r="B1774" s="13" t="s">
        <v>407</v>
      </c>
      <c r="C1774" s="13" t="s">
        <v>400</v>
      </c>
      <c r="D1774" s="14" t="s">
        <v>250</v>
      </c>
      <c r="E1774" s="14">
        <v>93.740500923699287</v>
      </c>
      <c r="F1774" s="14">
        <v>56.987337327306399</v>
      </c>
      <c r="G1774" s="14">
        <v>187.96251955277137</v>
      </c>
      <c r="H1774" s="14">
        <v>143.25855321743992</v>
      </c>
      <c r="I1774" s="14">
        <v>54.867683504903304</v>
      </c>
      <c r="J1774" s="14">
        <v>176.46655151177805</v>
      </c>
    </row>
    <row r="1775" spans="1:10" ht="15.75" x14ac:dyDescent="0.5">
      <c r="A1775" s="13" t="s">
        <v>334</v>
      </c>
      <c r="B1775" s="13" t="s">
        <v>408</v>
      </c>
      <c r="C1775" s="13" t="s">
        <v>400</v>
      </c>
      <c r="D1775" s="14">
        <v>46.892290321001234</v>
      </c>
      <c r="E1775" s="14">
        <v>30.094634956266574</v>
      </c>
      <c r="F1775" s="14">
        <v>22.219155390243458</v>
      </c>
      <c r="G1775" s="14">
        <v>42.965789166799709</v>
      </c>
      <c r="H1775" s="14">
        <v>42.325107221495109</v>
      </c>
      <c r="I1775" s="14">
        <v>35.567122212419122</v>
      </c>
      <c r="J1775" s="14">
        <v>44.408364347234631</v>
      </c>
    </row>
    <row r="1776" spans="1:10" ht="15.75" x14ac:dyDescent="0.5">
      <c r="A1776" s="13" t="s">
        <v>334</v>
      </c>
      <c r="B1776" s="13" t="s">
        <v>409</v>
      </c>
      <c r="C1776" s="13" t="s">
        <v>400</v>
      </c>
      <c r="D1776" s="14">
        <v>18.365704270000034</v>
      </c>
      <c r="E1776" s="14">
        <v>18.36570427000003</v>
      </c>
      <c r="F1776" s="14">
        <v>18.365704270000037</v>
      </c>
      <c r="G1776" s="14">
        <v>18.365704270000034</v>
      </c>
      <c r="H1776" s="14">
        <v>18.36570427000003</v>
      </c>
      <c r="I1776" s="14">
        <v>18.365704270000034</v>
      </c>
      <c r="J1776" s="14">
        <v>18.365704270000041</v>
      </c>
    </row>
    <row r="1777" spans="1:10" ht="15.75" x14ac:dyDescent="0.5">
      <c r="A1777" s="13" t="s">
        <v>334</v>
      </c>
      <c r="B1777" s="13" t="s">
        <v>410</v>
      </c>
      <c r="C1777" s="13" t="s">
        <v>400</v>
      </c>
      <c r="D1777" s="14">
        <v>245.79356253202212</v>
      </c>
      <c r="E1777" s="14">
        <v>245.07227968356173</v>
      </c>
      <c r="F1777" s="14">
        <v>245.99949268574147</v>
      </c>
      <c r="G1777" s="14">
        <v>246.02189676604809</v>
      </c>
      <c r="H1777" s="14">
        <v>246.0807672496307</v>
      </c>
      <c r="I1777" s="14">
        <v>246.03684058372485</v>
      </c>
      <c r="J1777" s="14">
        <v>246.16997594139124</v>
      </c>
    </row>
    <row r="1778" spans="1:10" ht="15.75" x14ac:dyDescent="0.5">
      <c r="A1778" s="13" t="s">
        <v>334</v>
      </c>
      <c r="B1778" s="13" t="s">
        <v>411</v>
      </c>
      <c r="C1778" s="13" t="s">
        <v>400</v>
      </c>
      <c r="D1778" s="14">
        <v>7.1394000000000171</v>
      </c>
      <c r="E1778" s="14">
        <v>3.559348905109498</v>
      </c>
      <c r="F1778" s="14" t="s">
        <v>250</v>
      </c>
      <c r="G1778" s="14" t="s">
        <v>250</v>
      </c>
      <c r="H1778" s="14" t="s">
        <v>250</v>
      </c>
      <c r="I1778" s="14" t="s">
        <v>250</v>
      </c>
      <c r="J1778" s="14" t="s">
        <v>250</v>
      </c>
    </row>
    <row r="1779" spans="1:10" ht="15.75" x14ac:dyDescent="0.5">
      <c r="A1779" s="13" t="s">
        <v>334</v>
      </c>
      <c r="B1779" s="13" t="s">
        <v>412</v>
      </c>
      <c r="C1779" s="13" t="s">
        <v>400</v>
      </c>
      <c r="D1779" s="14">
        <v>760.72545968400175</v>
      </c>
      <c r="E1779" s="14">
        <v>744.7078305980084</v>
      </c>
      <c r="F1779" s="14">
        <v>619.47165759604991</v>
      </c>
      <c r="G1779" s="14">
        <v>694.56815528068512</v>
      </c>
      <c r="H1779" s="14">
        <v>696.8251283473852</v>
      </c>
      <c r="I1779" s="14">
        <v>662.87034748283804</v>
      </c>
      <c r="J1779" s="14">
        <v>1081.7709045736792</v>
      </c>
    </row>
    <row r="1780" spans="1:10" ht="15.75" x14ac:dyDescent="0.5">
      <c r="A1780" s="13" t="s">
        <v>334</v>
      </c>
      <c r="B1780" s="13" t="s">
        <v>413</v>
      </c>
      <c r="C1780" s="13" t="s">
        <v>400</v>
      </c>
      <c r="D1780" s="14">
        <v>23.702927619886136</v>
      </c>
      <c r="E1780" s="14">
        <v>29.053559214871164</v>
      </c>
      <c r="F1780" s="14">
        <v>10.23935627664903</v>
      </c>
      <c r="G1780" s="14">
        <v>3.2185762035282148</v>
      </c>
      <c r="H1780" s="14">
        <v>1.3727133559358875</v>
      </c>
      <c r="I1780" s="14">
        <v>0.7081146679122563</v>
      </c>
      <c r="J1780" s="14">
        <v>5.9597080291970833E-3</v>
      </c>
    </row>
    <row r="1781" spans="1:10" ht="15.75" x14ac:dyDescent="0.5">
      <c r="A1781" s="13" t="s">
        <v>334</v>
      </c>
      <c r="B1781" s="13" t="s">
        <v>414</v>
      </c>
      <c r="C1781" s="13" t="s">
        <v>400</v>
      </c>
      <c r="D1781" s="14">
        <v>0.6803907705109502</v>
      </c>
      <c r="E1781" s="14">
        <v>24.075563619468554</v>
      </c>
      <c r="F1781" s="14">
        <v>94.58185099182522</v>
      </c>
      <c r="G1781" s="14">
        <v>188.56927654871765</v>
      </c>
      <c r="H1781" s="14">
        <v>228.12406648175019</v>
      </c>
      <c r="I1781" s="14">
        <v>228.70112496462303</v>
      </c>
      <c r="J1781" s="14">
        <v>229.11330959524696</v>
      </c>
    </row>
    <row r="1782" spans="1:10" ht="15.75" x14ac:dyDescent="0.5">
      <c r="A1782" s="13" t="s">
        <v>334</v>
      </c>
      <c r="B1782" s="13" t="s">
        <v>415</v>
      </c>
      <c r="C1782" s="13" t="s">
        <v>400</v>
      </c>
      <c r="D1782" s="14">
        <v>440.5312448325555</v>
      </c>
      <c r="E1782" s="14">
        <v>870.19864126768061</v>
      </c>
      <c r="F1782" s="14">
        <v>1353.6068877766606</v>
      </c>
      <c r="G1782" s="14">
        <v>1439.8606594424159</v>
      </c>
      <c r="H1782" s="14">
        <v>1938.7025286468711</v>
      </c>
      <c r="I1782" s="14">
        <v>2877.4842127394877</v>
      </c>
      <c r="J1782" s="14">
        <v>3261.1896154675574</v>
      </c>
    </row>
    <row r="1783" spans="1:10" ht="15.75" x14ac:dyDescent="0.5">
      <c r="A1783" s="13" t="s">
        <v>334</v>
      </c>
      <c r="B1783" s="13" t="s">
        <v>416</v>
      </c>
      <c r="C1783" s="13" t="s">
        <v>400</v>
      </c>
      <c r="D1783" s="14" t="s">
        <v>250</v>
      </c>
      <c r="E1783" s="14">
        <v>54.174742594981019</v>
      </c>
      <c r="F1783" s="14">
        <v>66.675949052097494</v>
      </c>
      <c r="G1783" s="14">
        <v>76.801435170202154</v>
      </c>
      <c r="H1783" s="14">
        <v>77.990654991853688</v>
      </c>
      <c r="I1783" s="14">
        <v>82.683057309487651</v>
      </c>
      <c r="J1783" s="14">
        <v>94.727837483420885</v>
      </c>
    </row>
    <row r="1784" spans="1:10" ht="15.75" x14ac:dyDescent="0.5">
      <c r="A1784" s="13" t="s">
        <v>334</v>
      </c>
      <c r="B1784" s="13" t="s">
        <v>417</v>
      </c>
      <c r="C1784" s="13" t="s">
        <v>400</v>
      </c>
      <c r="D1784" s="14">
        <v>187.48709633408691</v>
      </c>
      <c r="E1784" s="14">
        <v>302.84242686728885</v>
      </c>
      <c r="F1784" s="14">
        <v>345.93641305234974</v>
      </c>
      <c r="G1784" s="14">
        <v>418.99740902223124</v>
      </c>
      <c r="H1784" s="14">
        <v>951.48981176356233</v>
      </c>
      <c r="I1784" s="14">
        <v>1887.5604270991198</v>
      </c>
      <c r="J1784" s="14">
        <v>2072.7800646049704</v>
      </c>
    </row>
    <row r="1785" spans="1:10" ht="15.75" x14ac:dyDescent="0.5">
      <c r="A1785" s="13" t="s">
        <v>334</v>
      </c>
      <c r="B1785" s="13" t="s">
        <v>418</v>
      </c>
      <c r="C1785" s="13" t="s">
        <v>400</v>
      </c>
      <c r="D1785" s="14">
        <v>3.184175173101953</v>
      </c>
      <c r="E1785" s="14">
        <v>3.184175173101953</v>
      </c>
      <c r="F1785" s="14">
        <v>3.184175173101953</v>
      </c>
      <c r="G1785" s="14">
        <v>3.1841751731019539</v>
      </c>
      <c r="H1785" s="14">
        <v>3.184175173101953</v>
      </c>
      <c r="I1785" s="14">
        <v>3.1841751731019534</v>
      </c>
      <c r="J1785" s="14">
        <v>3.1841751731019539</v>
      </c>
    </row>
    <row r="1786" spans="1:10" ht="15.75" x14ac:dyDescent="0.5">
      <c r="A1786" s="13" t="s">
        <v>334</v>
      </c>
      <c r="B1786" s="13" t="s">
        <v>419</v>
      </c>
      <c r="C1786" s="13" t="s">
        <v>400</v>
      </c>
      <c r="D1786" s="14">
        <v>0.54465920264079493</v>
      </c>
      <c r="E1786" s="14">
        <v>8.9259804752232643</v>
      </c>
      <c r="F1786" s="14">
        <v>20.704467113757733</v>
      </c>
      <c r="G1786" s="14">
        <v>31.345816178646977</v>
      </c>
      <c r="H1786" s="14">
        <v>83.269134438630715</v>
      </c>
      <c r="I1786" s="14">
        <v>417.63309580808112</v>
      </c>
      <c r="J1786" s="14">
        <v>758.72642742760092</v>
      </c>
    </row>
    <row r="1787" spans="1:10" ht="15.75" x14ac:dyDescent="0.5">
      <c r="A1787" s="13" t="s">
        <v>334</v>
      </c>
      <c r="B1787" s="13" t="s">
        <v>420</v>
      </c>
      <c r="C1787" s="13" t="s">
        <v>400</v>
      </c>
      <c r="D1787" s="14">
        <v>-13.987252957808408</v>
      </c>
      <c r="E1787" s="14">
        <v>-13.918765989274808</v>
      </c>
      <c r="F1787" s="14">
        <v>-13.737843147432308</v>
      </c>
      <c r="G1787" s="14">
        <v>-11.821514885033967</v>
      </c>
      <c r="H1787" s="14">
        <v>-14.284829340547553</v>
      </c>
      <c r="I1787" s="14">
        <v>-15.864251694580862</v>
      </c>
      <c r="J1787" s="14">
        <v>-15.907403315959877</v>
      </c>
    </row>
    <row r="1788" spans="1:10" ht="15.75" x14ac:dyDescent="0.5">
      <c r="A1788" s="13" t="s">
        <v>335</v>
      </c>
      <c r="B1788" s="13" t="s">
        <v>399</v>
      </c>
      <c r="C1788" s="13" t="s">
        <v>400</v>
      </c>
      <c r="D1788" s="14">
        <v>7.2499064625597898</v>
      </c>
      <c r="E1788" s="14">
        <v>4.2389343065693544E-2</v>
      </c>
      <c r="F1788" s="14">
        <v>0.51246000000000103</v>
      </c>
      <c r="G1788" s="14">
        <v>0.90722127743896952</v>
      </c>
      <c r="H1788" s="14">
        <v>1.0334093430656954</v>
      </c>
      <c r="I1788" s="14">
        <v>5.0837080291970899E-2</v>
      </c>
      <c r="J1788" s="14">
        <v>0.53011762287353259</v>
      </c>
    </row>
    <row r="1789" spans="1:10" ht="15.75" x14ac:dyDescent="0.5">
      <c r="A1789" s="13" t="s">
        <v>335</v>
      </c>
      <c r="B1789" s="13" t="s">
        <v>401</v>
      </c>
      <c r="C1789" s="13" t="s">
        <v>400</v>
      </c>
      <c r="D1789" s="14" t="s">
        <v>250</v>
      </c>
      <c r="E1789" s="14" t="s">
        <v>250</v>
      </c>
      <c r="F1789" s="14">
        <v>115.34006632226659</v>
      </c>
      <c r="G1789" s="14">
        <v>115.34006632226658</v>
      </c>
      <c r="H1789" s="14">
        <v>26.346049230147411</v>
      </c>
      <c r="I1789" s="14">
        <v>18.877730714489473</v>
      </c>
      <c r="J1789" s="14" t="s">
        <v>250</v>
      </c>
    </row>
    <row r="1790" spans="1:10" ht="15.75" x14ac:dyDescent="0.5">
      <c r="A1790" s="13" t="s">
        <v>335</v>
      </c>
      <c r="B1790" s="13" t="s">
        <v>402</v>
      </c>
      <c r="C1790" s="13" t="s">
        <v>400</v>
      </c>
      <c r="D1790" s="14">
        <v>1072.9916742877465</v>
      </c>
      <c r="E1790" s="14">
        <v>279.26464787374107</v>
      </c>
      <c r="F1790" s="14">
        <v>131.2907898593015</v>
      </c>
      <c r="G1790" s="14">
        <v>90.715630131701275</v>
      </c>
      <c r="H1790" s="14">
        <v>69.861222401548375</v>
      </c>
      <c r="I1790" s="14">
        <v>52.049286313699874</v>
      </c>
      <c r="J1790" s="14" t="s">
        <v>250</v>
      </c>
    </row>
    <row r="1791" spans="1:10" ht="15.75" x14ac:dyDescent="0.5">
      <c r="A1791" s="13" t="s">
        <v>335</v>
      </c>
      <c r="B1791" s="13" t="s">
        <v>403</v>
      </c>
      <c r="C1791" s="13" t="s">
        <v>400</v>
      </c>
      <c r="D1791" s="14" t="s">
        <v>250</v>
      </c>
      <c r="E1791" s="14" t="s">
        <v>250</v>
      </c>
      <c r="F1791" s="14">
        <v>403.44443366253012</v>
      </c>
      <c r="G1791" s="14">
        <v>403.44443366252995</v>
      </c>
      <c r="H1791" s="14">
        <v>93.878489309791902</v>
      </c>
      <c r="I1791" s="14">
        <v>82.640528814003943</v>
      </c>
      <c r="J1791" s="14" t="s">
        <v>250</v>
      </c>
    </row>
    <row r="1792" spans="1:10" ht="15.75" x14ac:dyDescent="0.5">
      <c r="A1792" s="13" t="s">
        <v>335</v>
      </c>
      <c r="B1792" s="13" t="s">
        <v>404</v>
      </c>
      <c r="C1792" s="13" t="s">
        <v>400</v>
      </c>
      <c r="D1792" s="14" t="s">
        <v>250</v>
      </c>
      <c r="E1792" s="14" t="s">
        <v>250</v>
      </c>
      <c r="F1792" s="14" t="s">
        <v>250</v>
      </c>
      <c r="G1792" s="14" t="s">
        <v>250</v>
      </c>
      <c r="H1792" s="14" t="s">
        <v>250</v>
      </c>
      <c r="I1792" s="14">
        <v>0.33069896914528529</v>
      </c>
      <c r="J1792" s="14">
        <v>14.386240131336672</v>
      </c>
    </row>
    <row r="1793" spans="1:10" ht="15.75" x14ac:dyDescent="0.5">
      <c r="A1793" s="13" t="s">
        <v>335</v>
      </c>
      <c r="B1793" s="13" t="s">
        <v>421</v>
      </c>
      <c r="C1793" s="13" t="s">
        <v>400</v>
      </c>
      <c r="D1793" s="14" t="s">
        <v>250</v>
      </c>
      <c r="E1793" s="14" t="s">
        <v>250</v>
      </c>
      <c r="F1793" s="14" t="s">
        <v>250</v>
      </c>
      <c r="G1793" s="14">
        <v>478.6545319217077</v>
      </c>
      <c r="H1793" s="14">
        <v>1290.3696639339976</v>
      </c>
      <c r="I1793" s="14">
        <v>1289.1976667238882</v>
      </c>
      <c r="J1793" s="14">
        <v>212.5910695107126</v>
      </c>
    </row>
    <row r="1794" spans="1:10" ht="15.75" x14ac:dyDescent="0.5">
      <c r="A1794" s="13" t="s">
        <v>335</v>
      </c>
      <c r="B1794" s="13" t="s">
        <v>405</v>
      </c>
      <c r="C1794" s="13" t="s">
        <v>400</v>
      </c>
      <c r="D1794" s="14">
        <v>1259.3891290889944</v>
      </c>
      <c r="E1794" s="14">
        <v>1474.3869463521944</v>
      </c>
      <c r="F1794" s="14">
        <v>1192.5282596549512</v>
      </c>
      <c r="G1794" s="14">
        <v>1298.2244347289777</v>
      </c>
      <c r="H1794" s="14">
        <v>918.86318659487142</v>
      </c>
      <c r="I1794" s="14">
        <v>452.40200318055588</v>
      </c>
      <c r="J1794" s="14">
        <v>158.7180004414833</v>
      </c>
    </row>
    <row r="1795" spans="1:10" ht="15.75" x14ac:dyDescent="0.5">
      <c r="A1795" s="13" t="s">
        <v>335</v>
      </c>
      <c r="B1795" s="13" t="s">
        <v>406</v>
      </c>
      <c r="C1795" s="13" t="s">
        <v>400</v>
      </c>
      <c r="D1795" s="14">
        <v>23.479196814299328</v>
      </c>
      <c r="E1795" s="14">
        <v>30.430343493771819</v>
      </c>
      <c r="F1795" s="14">
        <v>44.698514726215883</v>
      </c>
      <c r="G1795" s="14">
        <v>54.683162472420889</v>
      </c>
      <c r="H1795" s="14">
        <v>70.976686650334926</v>
      </c>
      <c r="I1795" s="14">
        <v>82.172110832035145</v>
      </c>
      <c r="J1795" s="14">
        <v>120.55740084736448</v>
      </c>
    </row>
    <row r="1796" spans="1:10" ht="15.75" x14ac:dyDescent="0.5">
      <c r="A1796" s="13" t="s">
        <v>335</v>
      </c>
      <c r="B1796" s="13" t="s">
        <v>407</v>
      </c>
      <c r="C1796" s="13" t="s">
        <v>400</v>
      </c>
      <c r="D1796" s="14" t="s">
        <v>250</v>
      </c>
      <c r="E1796" s="14">
        <v>92.539626408373152</v>
      </c>
      <c r="F1796" s="14">
        <v>56.80926951039411</v>
      </c>
      <c r="G1796" s="14">
        <v>197.13800474007945</v>
      </c>
      <c r="H1796" s="14">
        <v>139.09595887534206</v>
      </c>
      <c r="I1796" s="14">
        <v>24.719345543651308</v>
      </c>
      <c r="J1796" s="14">
        <v>54.903983367318425</v>
      </c>
    </row>
    <row r="1797" spans="1:10" ht="15.75" x14ac:dyDescent="0.5">
      <c r="A1797" s="13" t="s">
        <v>335</v>
      </c>
      <c r="B1797" s="13" t="s">
        <v>408</v>
      </c>
      <c r="C1797" s="13" t="s">
        <v>400</v>
      </c>
      <c r="D1797" s="14">
        <v>46.892290321001234</v>
      </c>
      <c r="E1797" s="14">
        <v>30.127073010289894</v>
      </c>
      <c r="F1797" s="14">
        <v>22.175889102740854</v>
      </c>
      <c r="G1797" s="14">
        <v>43.641246150615231</v>
      </c>
      <c r="H1797" s="14">
        <v>43.87152112705396</v>
      </c>
      <c r="I1797" s="14">
        <v>30.37263071294857</v>
      </c>
      <c r="J1797" s="14">
        <v>35.405213293506442</v>
      </c>
    </row>
    <row r="1798" spans="1:10" ht="15.75" x14ac:dyDescent="0.5">
      <c r="A1798" s="13" t="s">
        <v>335</v>
      </c>
      <c r="B1798" s="13" t="s">
        <v>409</v>
      </c>
      <c r="C1798" s="13" t="s">
        <v>400</v>
      </c>
      <c r="D1798" s="14">
        <v>18.365704270000034</v>
      </c>
      <c r="E1798" s="14">
        <v>18.365704270000037</v>
      </c>
      <c r="F1798" s="14">
        <v>18.36570427000003</v>
      </c>
      <c r="G1798" s="14">
        <v>18.365704270000034</v>
      </c>
      <c r="H1798" s="14">
        <v>18.36570427000003</v>
      </c>
      <c r="I1798" s="14">
        <v>18.350623678087281</v>
      </c>
      <c r="J1798" s="14">
        <v>18.365704270000037</v>
      </c>
    </row>
    <row r="1799" spans="1:10" ht="15.75" x14ac:dyDescent="0.5">
      <c r="A1799" s="13" t="s">
        <v>335</v>
      </c>
      <c r="B1799" s="13" t="s">
        <v>410</v>
      </c>
      <c r="C1799" s="13" t="s">
        <v>400</v>
      </c>
      <c r="D1799" s="14">
        <v>245.79356253202218</v>
      </c>
      <c r="E1799" s="14">
        <v>245.09632944715094</v>
      </c>
      <c r="F1799" s="14">
        <v>246.00149265654426</v>
      </c>
      <c r="G1799" s="14">
        <v>246.16953280238573</v>
      </c>
      <c r="H1799" s="14">
        <v>246.09463345963982</v>
      </c>
      <c r="I1799" s="14">
        <v>245.57853749116617</v>
      </c>
      <c r="J1799" s="14">
        <v>245.96087335052655</v>
      </c>
    </row>
    <row r="1800" spans="1:10" ht="15.75" x14ac:dyDescent="0.5">
      <c r="A1800" s="13" t="s">
        <v>335</v>
      </c>
      <c r="B1800" s="13" t="s">
        <v>411</v>
      </c>
      <c r="C1800" s="13" t="s">
        <v>400</v>
      </c>
      <c r="D1800" s="14">
        <v>7.1394000000000153</v>
      </c>
      <c r="E1800" s="14">
        <v>3.5593489051094989</v>
      </c>
      <c r="F1800" s="14" t="s">
        <v>250</v>
      </c>
      <c r="G1800" s="14" t="s">
        <v>250</v>
      </c>
      <c r="H1800" s="14" t="s">
        <v>250</v>
      </c>
      <c r="I1800" s="14" t="s">
        <v>250</v>
      </c>
      <c r="J1800" s="14" t="s">
        <v>250</v>
      </c>
    </row>
    <row r="1801" spans="1:10" ht="15.75" x14ac:dyDescent="0.5">
      <c r="A1801" s="13" t="s">
        <v>335</v>
      </c>
      <c r="B1801" s="13" t="s">
        <v>412</v>
      </c>
      <c r="C1801" s="13" t="s">
        <v>400</v>
      </c>
      <c r="D1801" s="14">
        <v>760.72545968400175</v>
      </c>
      <c r="E1801" s="14">
        <v>745.89483265197021</v>
      </c>
      <c r="F1801" s="14">
        <v>620.37292395335078</v>
      </c>
      <c r="G1801" s="14">
        <v>712.22005993336109</v>
      </c>
      <c r="H1801" s="14">
        <v>800.78813204189385</v>
      </c>
      <c r="I1801" s="14">
        <v>1274.5146347754753</v>
      </c>
      <c r="J1801" s="14">
        <v>3080.7893975609345</v>
      </c>
    </row>
    <row r="1802" spans="1:10" ht="15.75" x14ac:dyDescent="0.5">
      <c r="A1802" s="13" t="s">
        <v>335</v>
      </c>
      <c r="B1802" s="13" t="s">
        <v>413</v>
      </c>
      <c r="C1802" s="13" t="s">
        <v>400</v>
      </c>
      <c r="D1802" s="14">
        <v>23.702927619886133</v>
      </c>
      <c r="E1802" s="14">
        <v>29.205091153039081</v>
      </c>
      <c r="F1802" s="14">
        <v>10.570968717775234</v>
      </c>
      <c r="G1802" s="14">
        <v>4.197768633270166</v>
      </c>
      <c r="H1802" s="14">
        <v>1.8077067454233526</v>
      </c>
      <c r="I1802" s="14">
        <v>0.38378047639699681</v>
      </c>
      <c r="J1802" s="14" t="s">
        <v>250</v>
      </c>
    </row>
    <row r="1803" spans="1:10" ht="15.75" x14ac:dyDescent="0.5">
      <c r="A1803" s="13" t="s">
        <v>335</v>
      </c>
      <c r="B1803" s="13" t="s">
        <v>414</v>
      </c>
      <c r="C1803" s="13" t="s">
        <v>400</v>
      </c>
      <c r="D1803" s="14">
        <v>0.6803907705109502</v>
      </c>
      <c r="E1803" s="14">
        <v>24.062027500498463</v>
      </c>
      <c r="F1803" s="14">
        <v>94.556809403989789</v>
      </c>
      <c r="G1803" s="14">
        <v>188.60723303719402</v>
      </c>
      <c r="H1803" s="14">
        <v>228.1721361856485</v>
      </c>
      <c r="I1803" s="14">
        <v>228.74933478425197</v>
      </c>
      <c r="J1803" s="14">
        <v>229.16161949754064</v>
      </c>
    </row>
    <row r="1804" spans="1:10" ht="15.75" x14ac:dyDescent="0.5">
      <c r="A1804" s="13" t="s">
        <v>335</v>
      </c>
      <c r="B1804" s="13" t="s">
        <v>415</v>
      </c>
      <c r="C1804" s="13" t="s">
        <v>400</v>
      </c>
      <c r="D1804" s="14">
        <v>440.53124483255556</v>
      </c>
      <c r="E1804" s="14">
        <v>870.25819259319337</v>
      </c>
      <c r="F1804" s="14">
        <v>1348.0536980916258</v>
      </c>
      <c r="G1804" s="14">
        <v>1420.0329908540698</v>
      </c>
      <c r="H1804" s="14">
        <v>1928.3232369109796</v>
      </c>
      <c r="I1804" s="14">
        <v>2683.0608862466406</v>
      </c>
      <c r="J1804" s="14">
        <v>2706.0117645144364</v>
      </c>
    </row>
    <row r="1805" spans="1:10" ht="15.75" x14ac:dyDescent="0.5">
      <c r="A1805" s="13" t="s">
        <v>335</v>
      </c>
      <c r="B1805" s="13" t="s">
        <v>416</v>
      </c>
      <c r="C1805" s="13" t="s">
        <v>400</v>
      </c>
      <c r="D1805" s="14" t="s">
        <v>250</v>
      </c>
      <c r="E1805" s="14">
        <v>54.174742594980984</v>
      </c>
      <c r="F1805" s="14">
        <v>66.675949052097465</v>
      </c>
      <c r="G1805" s="14">
        <v>76.801435170202083</v>
      </c>
      <c r="H1805" s="14">
        <v>77.99065499185366</v>
      </c>
      <c r="I1805" s="14">
        <v>82.683057309487651</v>
      </c>
      <c r="J1805" s="14">
        <v>94.727837483420942</v>
      </c>
    </row>
    <row r="1806" spans="1:10" ht="15.75" x14ac:dyDescent="0.5">
      <c r="A1806" s="13" t="s">
        <v>335</v>
      </c>
      <c r="B1806" s="13" t="s">
        <v>417</v>
      </c>
      <c r="C1806" s="13" t="s">
        <v>400</v>
      </c>
      <c r="D1806" s="14">
        <v>187.48709633408691</v>
      </c>
      <c r="E1806" s="14">
        <v>302.9606801099535</v>
      </c>
      <c r="F1806" s="14">
        <v>346.08725140358166</v>
      </c>
      <c r="G1806" s="14">
        <v>424.21434314424943</v>
      </c>
      <c r="H1806" s="14">
        <v>990.4747707315455</v>
      </c>
      <c r="I1806" s="14">
        <v>1464.3900550275184</v>
      </c>
      <c r="J1806" s="14">
        <v>1530.4717543594356</v>
      </c>
    </row>
    <row r="1807" spans="1:10" ht="15.75" x14ac:dyDescent="0.5">
      <c r="A1807" s="13" t="s">
        <v>335</v>
      </c>
      <c r="B1807" s="13" t="s">
        <v>418</v>
      </c>
      <c r="C1807" s="13" t="s">
        <v>400</v>
      </c>
      <c r="D1807" s="14">
        <v>3.1841751731019539</v>
      </c>
      <c r="E1807" s="14">
        <v>3.1841751731019534</v>
      </c>
      <c r="F1807" s="14">
        <v>3.1841751731019525</v>
      </c>
      <c r="G1807" s="14">
        <v>3.184175173101953</v>
      </c>
      <c r="H1807" s="14">
        <v>3.1841751731019534</v>
      </c>
      <c r="I1807" s="14">
        <v>3.1841751731019534</v>
      </c>
      <c r="J1807" s="14">
        <v>3.1841751731019534</v>
      </c>
    </row>
    <row r="1808" spans="1:10" ht="15.75" x14ac:dyDescent="0.5">
      <c r="A1808" s="13" t="s">
        <v>335</v>
      </c>
      <c r="B1808" s="13" t="s">
        <v>419</v>
      </c>
      <c r="C1808" s="13" t="s">
        <v>400</v>
      </c>
      <c r="D1808" s="14">
        <v>0.54465920264079504</v>
      </c>
      <c r="E1808" s="14">
        <v>9.0994112022657063</v>
      </c>
      <c r="F1808" s="14">
        <v>21.122785197767488</v>
      </c>
      <c r="G1808" s="14">
        <v>31.82302205535029</v>
      </c>
      <c r="H1808" s="14">
        <v>75.533476472871129</v>
      </c>
      <c r="I1808" s="14">
        <v>204.93721935454386</v>
      </c>
      <c r="J1808" s="14">
        <v>237.53662497297546</v>
      </c>
    </row>
    <row r="1809" spans="1:10" ht="15.75" x14ac:dyDescent="0.5">
      <c r="A1809" s="13" t="s">
        <v>335</v>
      </c>
      <c r="B1809" s="13" t="s">
        <v>420</v>
      </c>
      <c r="C1809" s="13" t="s">
        <v>400</v>
      </c>
      <c r="D1809" s="14">
        <v>-13.987252957808405</v>
      </c>
      <c r="E1809" s="14">
        <v>-14.014345010500657</v>
      </c>
      <c r="F1809" s="14">
        <v>-13.900310109918705</v>
      </c>
      <c r="G1809" s="14">
        <v>-12.461672765923998</v>
      </c>
      <c r="H1809" s="14">
        <v>-15.525979161343122</v>
      </c>
      <c r="I1809" s="14">
        <v>-17.628888339236688</v>
      </c>
      <c r="J1809" s="14">
        <v>-19.777445602656393</v>
      </c>
    </row>
    <row r="1810" spans="1:10" ht="15.75" x14ac:dyDescent="0.5">
      <c r="A1810" s="13" t="s">
        <v>336</v>
      </c>
      <c r="B1810" s="13" t="s">
        <v>399</v>
      </c>
      <c r="C1810" s="13" t="s">
        <v>400</v>
      </c>
      <c r="D1810" s="14">
        <v>7.2499064625597898</v>
      </c>
      <c r="E1810" s="14">
        <v>4.2389343065693544E-2</v>
      </c>
      <c r="F1810" s="14">
        <v>0.51246000000000103</v>
      </c>
      <c r="G1810" s="14">
        <v>1.1121295182481776</v>
      </c>
      <c r="H1810" s="14">
        <v>0.65864645801564914</v>
      </c>
      <c r="I1810" s="14">
        <v>1.3680000000000036E-2</v>
      </c>
      <c r="J1810" s="14">
        <v>3.1056506967174595</v>
      </c>
    </row>
    <row r="1811" spans="1:10" ht="15.75" x14ac:dyDescent="0.5">
      <c r="A1811" s="13" t="s">
        <v>336</v>
      </c>
      <c r="B1811" s="13" t="s">
        <v>401</v>
      </c>
      <c r="C1811" s="13" t="s">
        <v>400</v>
      </c>
      <c r="D1811" s="14" t="s">
        <v>250</v>
      </c>
      <c r="E1811" s="14" t="s">
        <v>250</v>
      </c>
      <c r="F1811" s="14">
        <v>100.34123126441216</v>
      </c>
      <c r="G1811" s="14">
        <v>100.34123126441216</v>
      </c>
      <c r="H1811" s="14">
        <v>12.141253639482938</v>
      </c>
      <c r="I1811" s="14">
        <v>8.2122206549113859</v>
      </c>
      <c r="J1811" s="14" t="s">
        <v>250</v>
      </c>
    </row>
    <row r="1812" spans="1:10" ht="15.75" x14ac:dyDescent="0.5">
      <c r="A1812" s="13" t="s">
        <v>336</v>
      </c>
      <c r="B1812" s="13" t="s">
        <v>402</v>
      </c>
      <c r="C1812" s="13" t="s">
        <v>400</v>
      </c>
      <c r="D1812" s="14">
        <v>1072.9916742877465</v>
      </c>
      <c r="E1812" s="14">
        <v>278.06697654191561</v>
      </c>
      <c r="F1812" s="14">
        <v>139.71541038484415</v>
      </c>
      <c r="G1812" s="14">
        <v>98.804677335927096</v>
      </c>
      <c r="H1812" s="14">
        <v>80.727783042150165</v>
      </c>
      <c r="I1812" s="14">
        <v>44.217675264799368</v>
      </c>
      <c r="J1812" s="14" t="s">
        <v>250</v>
      </c>
    </row>
    <row r="1813" spans="1:10" ht="15.75" x14ac:dyDescent="0.5">
      <c r="A1813" s="13" t="s">
        <v>336</v>
      </c>
      <c r="B1813" s="13" t="s">
        <v>403</v>
      </c>
      <c r="C1813" s="13" t="s">
        <v>400</v>
      </c>
      <c r="D1813" s="14" t="s">
        <v>250</v>
      </c>
      <c r="E1813" s="14" t="s">
        <v>250</v>
      </c>
      <c r="F1813" s="14">
        <v>207.78229778910708</v>
      </c>
      <c r="G1813" s="14">
        <v>207.78229778910702</v>
      </c>
      <c r="H1813" s="14">
        <v>42.340554350955998</v>
      </c>
      <c r="I1813" s="14">
        <v>42.340554350956005</v>
      </c>
      <c r="J1813" s="14">
        <v>17.143253424000008</v>
      </c>
    </row>
    <row r="1814" spans="1:10" ht="15.75" x14ac:dyDescent="0.5">
      <c r="A1814" s="13" t="s">
        <v>336</v>
      </c>
      <c r="B1814" s="13" t="s">
        <v>404</v>
      </c>
      <c r="C1814" s="13" t="s">
        <v>400</v>
      </c>
      <c r="D1814" s="14" t="s">
        <v>250</v>
      </c>
      <c r="E1814" s="14" t="s">
        <v>250</v>
      </c>
      <c r="F1814" s="14" t="s">
        <v>250</v>
      </c>
      <c r="G1814" s="14" t="s">
        <v>250</v>
      </c>
      <c r="H1814" s="14" t="s">
        <v>250</v>
      </c>
      <c r="I1814" s="14">
        <v>0.33069896914528535</v>
      </c>
      <c r="J1814" s="14">
        <v>50.791286400129017</v>
      </c>
    </row>
    <row r="1815" spans="1:10" ht="15.75" x14ac:dyDescent="0.5">
      <c r="A1815" s="13" t="s">
        <v>336</v>
      </c>
      <c r="B1815" s="13" t="s">
        <v>421</v>
      </c>
      <c r="C1815" s="13" t="s">
        <v>400</v>
      </c>
      <c r="D1815" s="14" t="s">
        <v>250</v>
      </c>
      <c r="E1815" s="14" t="s">
        <v>250</v>
      </c>
      <c r="F1815" s="14" t="s">
        <v>250</v>
      </c>
      <c r="G1815" s="14">
        <v>760.55622640922297</v>
      </c>
      <c r="H1815" s="14">
        <v>2035.9267195234504</v>
      </c>
      <c r="I1815" s="14">
        <v>1995.4481109963574</v>
      </c>
      <c r="J1815" s="14">
        <v>1548.0214472694709</v>
      </c>
    </row>
    <row r="1816" spans="1:10" ht="15.75" x14ac:dyDescent="0.5">
      <c r="A1816" s="13" t="s">
        <v>336</v>
      </c>
      <c r="B1816" s="13" t="s">
        <v>405</v>
      </c>
      <c r="C1816" s="13" t="s">
        <v>400</v>
      </c>
      <c r="D1816" s="14">
        <v>1259.389129088994</v>
      </c>
      <c r="E1816" s="14">
        <v>1476.2129781052968</v>
      </c>
      <c r="F1816" s="14">
        <v>1380.5805376482958</v>
      </c>
      <c r="G1816" s="14">
        <v>1292.0608753948939</v>
      </c>
      <c r="H1816" s="14">
        <v>879.11073933576915</v>
      </c>
      <c r="I1816" s="14">
        <v>465.6204390288712</v>
      </c>
      <c r="J1816" s="14">
        <v>139.93394409460555</v>
      </c>
    </row>
    <row r="1817" spans="1:10" ht="15.75" x14ac:dyDescent="0.5">
      <c r="A1817" s="13" t="s">
        <v>336</v>
      </c>
      <c r="B1817" s="13" t="s">
        <v>406</v>
      </c>
      <c r="C1817" s="13" t="s">
        <v>400</v>
      </c>
      <c r="D1817" s="14">
        <v>23.479196814299335</v>
      </c>
      <c r="E1817" s="14">
        <v>30.183455661958561</v>
      </c>
      <c r="F1817" s="14">
        <v>45.08965148779096</v>
      </c>
      <c r="G1817" s="14">
        <v>53.057135400784453</v>
      </c>
      <c r="H1817" s="14">
        <v>66.481581587278811</v>
      </c>
      <c r="I1817" s="14">
        <v>79.704065719767215</v>
      </c>
      <c r="J1817" s="14">
        <v>104.73532887333815</v>
      </c>
    </row>
    <row r="1818" spans="1:10" ht="15.75" x14ac:dyDescent="0.5">
      <c r="A1818" s="13" t="s">
        <v>336</v>
      </c>
      <c r="B1818" s="13" t="s">
        <v>407</v>
      </c>
      <c r="C1818" s="13" t="s">
        <v>400</v>
      </c>
      <c r="D1818" s="14" t="s">
        <v>250</v>
      </c>
      <c r="E1818" s="14">
        <v>93.986485963910553</v>
      </c>
      <c r="F1818" s="14">
        <v>65.620444658010726</v>
      </c>
      <c r="G1818" s="14">
        <v>154.0360368965373</v>
      </c>
      <c r="H1818" s="14">
        <v>90.428873340750414</v>
      </c>
      <c r="I1818" s="14">
        <v>39.345456685591387</v>
      </c>
      <c r="J1818" s="14">
        <v>166.0640601715352</v>
      </c>
    </row>
    <row r="1819" spans="1:10" ht="15.75" x14ac:dyDescent="0.5">
      <c r="A1819" s="13" t="s">
        <v>336</v>
      </c>
      <c r="B1819" s="13" t="s">
        <v>408</v>
      </c>
      <c r="C1819" s="13" t="s">
        <v>400</v>
      </c>
      <c r="D1819" s="14">
        <v>46.892290321001227</v>
      </c>
      <c r="E1819" s="14">
        <v>30.109268066966187</v>
      </c>
      <c r="F1819" s="14">
        <v>22.904528395368619</v>
      </c>
      <c r="G1819" s="14">
        <v>38.814018150969545</v>
      </c>
      <c r="H1819" s="14">
        <v>33.661092015298479</v>
      </c>
      <c r="I1819" s="14">
        <v>24.222464313265363</v>
      </c>
      <c r="J1819" s="14">
        <v>44.055495774257182</v>
      </c>
    </row>
    <row r="1820" spans="1:10" ht="15.75" x14ac:dyDescent="0.5">
      <c r="A1820" s="13" t="s">
        <v>336</v>
      </c>
      <c r="B1820" s="13" t="s">
        <v>409</v>
      </c>
      <c r="C1820" s="13" t="s">
        <v>400</v>
      </c>
      <c r="D1820" s="14">
        <v>18.365704270000034</v>
      </c>
      <c r="E1820" s="14">
        <v>18.36570427000003</v>
      </c>
      <c r="F1820" s="14">
        <v>18.365704270000037</v>
      </c>
      <c r="G1820" s="14">
        <v>18.365704270000034</v>
      </c>
      <c r="H1820" s="14">
        <v>18.365704270000034</v>
      </c>
      <c r="I1820" s="14">
        <v>18.365704270000034</v>
      </c>
      <c r="J1820" s="14">
        <v>18.365704270000037</v>
      </c>
    </row>
    <row r="1821" spans="1:10" ht="15.75" x14ac:dyDescent="0.5">
      <c r="A1821" s="13" t="s">
        <v>336</v>
      </c>
      <c r="B1821" s="13" t="s">
        <v>410</v>
      </c>
      <c r="C1821" s="13" t="s">
        <v>400</v>
      </c>
      <c r="D1821" s="14">
        <v>245.79356253202215</v>
      </c>
      <c r="E1821" s="14">
        <v>245.14345854531595</v>
      </c>
      <c r="F1821" s="14">
        <v>245.95910966916952</v>
      </c>
      <c r="G1821" s="14">
        <v>246.0030577151706</v>
      </c>
      <c r="H1821" s="14">
        <v>246.14117253558911</v>
      </c>
      <c r="I1821" s="14">
        <v>245.73518101003938</v>
      </c>
      <c r="J1821" s="14">
        <v>246.1018770800747</v>
      </c>
    </row>
    <row r="1822" spans="1:10" ht="15.75" x14ac:dyDescent="0.5">
      <c r="A1822" s="13" t="s">
        <v>336</v>
      </c>
      <c r="B1822" s="13" t="s">
        <v>411</v>
      </c>
      <c r="C1822" s="13" t="s">
        <v>400</v>
      </c>
      <c r="D1822" s="14">
        <v>7.1394000000000162</v>
      </c>
      <c r="E1822" s="14">
        <v>3.5593489051094971</v>
      </c>
      <c r="F1822" s="14" t="s">
        <v>250</v>
      </c>
      <c r="G1822" s="14" t="s">
        <v>250</v>
      </c>
      <c r="H1822" s="14" t="s">
        <v>250</v>
      </c>
      <c r="I1822" s="14" t="s">
        <v>250</v>
      </c>
      <c r="J1822" s="14" t="s">
        <v>250</v>
      </c>
    </row>
    <row r="1823" spans="1:10" ht="15.75" x14ac:dyDescent="0.5">
      <c r="A1823" s="13" t="s">
        <v>336</v>
      </c>
      <c r="B1823" s="13" t="s">
        <v>412</v>
      </c>
      <c r="C1823" s="13" t="s">
        <v>400</v>
      </c>
      <c r="D1823" s="14">
        <v>760.72545968400163</v>
      </c>
      <c r="E1823" s="14">
        <v>744.82090677511735</v>
      </c>
      <c r="F1823" s="14">
        <v>617.12377644235949</v>
      </c>
      <c r="G1823" s="14">
        <v>685.55552754390953</v>
      </c>
      <c r="H1823" s="14">
        <v>675.65111516206127</v>
      </c>
      <c r="I1823" s="14">
        <v>526.46831333248826</v>
      </c>
      <c r="J1823" s="14">
        <v>657.70990696572642</v>
      </c>
    </row>
    <row r="1824" spans="1:10" ht="15.75" x14ac:dyDescent="0.5">
      <c r="A1824" s="13" t="s">
        <v>336</v>
      </c>
      <c r="B1824" s="13" t="s">
        <v>413</v>
      </c>
      <c r="C1824" s="13" t="s">
        <v>400</v>
      </c>
      <c r="D1824" s="14">
        <v>23.70292761988614</v>
      </c>
      <c r="E1824" s="14">
        <v>28.795502802929349</v>
      </c>
      <c r="F1824" s="14">
        <v>12.065583424273663</v>
      </c>
      <c r="G1824" s="14">
        <v>3.9423695155062193</v>
      </c>
      <c r="H1824" s="14">
        <v>1.4817462520187845</v>
      </c>
      <c r="I1824" s="14">
        <v>0.21432777463227703</v>
      </c>
      <c r="J1824" s="14">
        <v>5.9597080291970833E-3</v>
      </c>
    </row>
    <row r="1825" spans="1:10" ht="15.75" x14ac:dyDescent="0.5">
      <c r="A1825" s="13" t="s">
        <v>336</v>
      </c>
      <c r="B1825" s="13" t="s">
        <v>414</v>
      </c>
      <c r="C1825" s="13" t="s">
        <v>400</v>
      </c>
      <c r="D1825" s="14">
        <v>0.6803907705109502</v>
      </c>
      <c r="E1825" s="14">
        <v>24.067774645237449</v>
      </c>
      <c r="F1825" s="14">
        <v>94.556334516922831</v>
      </c>
      <c r="G1825" s="14">
        <v>188.56463051795703</v>
      </c>
      <c r="H1825" s="14">
        <v>228.13143203119583</v>
      </c>
      <c r="I1825" s="14">
        <v>228.70851198350275</v>
      </c>
      <c r="J1825" s="14">
        <v>229.12071194943681</v>
      </c>
    </row>
    <row r="1826" spans="1:10" ht="15.75" x14ac:dyDescent="0.5">
      <c r="A1826" s="13" t="s">
        <v>336</v>
      </c>
      <c r="B1826" s="13" t="s">
        <v>415</v>
      </c>
      <c r="C1826" s="13" t="s">
        <v>400</v>
      </c>
      <c r="D1826" s="14">
        <v>440.53124483255561</v>
      </c>
      <c r="E1826" s="14">
        <v>870.25819246830861</v>
      </c>
      <c r="F1826" s="14">
        <v>1352.6977838866205</v>
      </c>
      <c r="G1826" s="14">
        <v>1433.1934413756187</v>
      </c>
      <c r="H1826" s="14">
        <v>1776.2931792050949</v>
      </c>
      <c r="I1826" s="14">
        <v>2577.9216764970124</v>
      </c>
      <c r="J1826" s="14">
        <v>3158.3418308527107</v>
      </c>
    </row>
    <row r="1827" spans="1:10" ht="15.75" x14ac:dyDescent="0.5">
      <c r="A1827" s="13" t="s">
        <v>336</v>
      </c>
      <c r="B1827" s="13" t="s">
        <v>416</v>
      </c>
      <c r="C1827" s="13" t="s">
        <v>400</v>
      </c>
      <c r="D1827" s="14" t="s">
        <v>250</v>
      </c>
      <c r="E1827" s="14">
        <v>54.174742594980977</v>
      </c>
      <c r="F1827" s="14">
        <v>66.675949052097508</v>
      </c>
      <c r="G1827" s="14">
        <v>76.80143517020214</v>
      </c>
      <c r="H1827" s="14">
        <v>77.990654991853731</v>
      </c>
      <c r="I1827" s="14">
        <v>82.683057309487637</v>
      </c>
      <c r="J1827" s="14">
        <v>94.727837483420913</v>
      </c>
    </row>
    <row r="1828" spans="1:10" ht="15.75" x14ac:dyDescent="0.5">
      <c r="A1828" s="13" t="s">
        <v>336</v>
      </c>
      <c r="B1828" s="13" t="s">
        <v>417</v>
      </c>
      <c r="C1828" s="13" t="s">
        <v>400</v>
      </c>
      <c r="D1828" s="14">
        <v>187.48709633408691</v>
      </c>
      <c r="E1828" s="14">
        <v>303.09223523410287</v>
      </c>
      <c r="F1828" s="14">
        <v>346.13540589561393</v>
      </c>
      <c r="G1828" s="14">
        <v>425.79719747452538</v>
      </c>
      <c r="H1828" s="14">
        <v>703.48764387412689</v>
      </c>
      <c r="I1828" s="14">
        <v>1818.615125823419</v>
      </c>
      <c r="J1828" s="14">
        <v>2077.4429019910294</v>
      </c>
    </row>
    <row r="1829" spans="1:10" ht="15.75" x14ac:dyDescent="0.5">
      <c r="A1829" s="13" t="s">
        <v>336</v>
      </c>
      <c r="B1829" s="13" t="s">
        <v>418</v>
      </c>
      <c r="C1829" s="13" t="s">
        <v>400</v>
      </c>
      <c r="D1829" s="14">
        <v>3.1841751731019534</v>
      </c>
      <c r="E1829" s="14">
        <v>3.184175173101953</v>
      </c>
      <c r="F1829" s="14">
        <v>3.1841751731019534</v>
      </c>
      <c r="G1829" s="14">
        <v>3.184175173101953</v>
      </c>
      <c r="H1829" s="14">
        <v>3.184175173101953</v>
      </c>
      <c r="I1829" s="14">
        <v>3.184175173101953</v>
      </c>
      <c r="J1829" s="14">
        <v>3.1841751731019539</v>
      </c>
    </row>
    <row r="1830" spans="1:10" ht="15.75" x14ac:dyDescent="0.5">
      <c r="A1830" s="13" t="s">
        <v>336</v>
      </c>
      <c r="B1830" s="13" t="s">
        <v>419</v>
      </c>
      <c r="C1830" s="13" t="s">
        <v>400</v>
      </c>
      <c r="D1830" s="14">
        <v>0.54465920264079504</v>
      </c>
      <c r="E1830" s="14">
        <v>8.8161820746591424</v>
      </c>
      <c r="F1830" s="14">
        <v>20.068466183221336</v>
      </c>
      <c r="G1830" s="14">
        <v>25.71459874449376</v>
      </c>
      <c r="H1830" s="14">
        <v>66.860151323404438</v>
      </c>
      <c r="I1830" s="14">
        <v>275.45874913120355</v>
      </c>
      <c r="J1830" s="14">
        <v>732.0079201930273</v>
      </c>
    </row>
    <row r="1831" spans="1:10" ht="15.75" x14ac:dyDescent="0.5">
      <c r="A1831" s="13" t="s">
        <v>336</v>
      </c>
      <c r="B1831" s="13" t="s">
        <v>420</v>
      </c>
      <c r="C1831" s="13" t="s">
        <v>400</v>
      </c>
      <c r="D1831" s="14">
        <v>-13.987252957808394</v>
      </c>
      <c r="E1831" s="14">
        <v>-13.961231970532136</v>
      </c>
      <c r="F1831" s="14">
        <v>-13.474225508955245</v>
      </c>
      <c r="G1831" s="14">
        <v>-11.585180600281994</v>
      </c>
      <c r="H1831" s="14">
        <v>-15.149509919324808</v>
      </c>
      <c r="I1831" s="14">
        <v>-16.850491616393654</v>
      </c>
      <c r="J1831" s="14">
        <v>-16.902359661443967</v>
      </c>
    </row>
    <row r="1832" spans="1:10" ht="15.75" x14ac:dyDescent="0.5">
      <c r="A1832" s="13" t="s">
        <v>337</v>
      </c>
      <c r="B1832" s="13" t="s">
        <v>399</v>
      </c>
      <c r="C1832" s="13" t="s">
        <v>400</v>
      </c>
      <c r="D1832" s="14">
        <v>7.2499064625597889</v>
      </c>
      <c r="E1832" s="14">
        <v>4.2389343065693544E-2</v>
      </c>
      <c r="F1832" s="14">
        <v>0.51246000000000103</v>
      </c>
      <c r="G1832" s="14">
        <v>1.0758222778580175</v>
      </c>
      <c r="H1832" s="14">
        <v>0.65906382949830833</v>
      </c>
      <c r="I1832" s="14">
        <v>1.3680000000000036E-2</v>
      </c>
      <c r="J1832" s="14">
        <v>3.0416947359263515</v>
      </c>
    </row>
    <row r="1833" spans="1:10" ht="15.75" x14ac:dyDescent="0.5">
      <c r="A1833" s="13" t="s">
        <v>337</v>
      </c>
      <c r="B1833" s="13" t="s">
        <v>401</v>
      </c>
      <c r="C1833" s="13" t="s">
        <v>400</v>
      </c>
      <c r="D1833" s="14" t="s">
        <v>250</v>
      </c>
      <c r="E1833" s="14" t="s">
        <v>250</v>
      </c>
      <c r="F1833" s="14">
        <v>100.34139431291726</v>
      </c>
      <c r="G1833" s="14">
        <v>100.34139431291723</v>
      </c>
      <c r="H1833" s="14">
        <v>12.114015023967376</v>
      </c>
      <c r="I1833" s="14">
        <v>8.1849820393958215</v>
      </c>
      <c r="J1833" s="14" t="s">
        <v>250</v>
      </c>
    </row>
    <row r="1834" spans="1:10" ht="15.75" x14ac:dyDescent="0.5">
      <c r="A1834" s="13" t="s">
        <v>337</v>
      </c>
      <c r="B1834" s="13" t="s">
        <v>402</v>
      </c>
      <c r="C1834" s="13" t="s">
        <v>400</v>
      </c>
      <c r="D1834" s="14">
        <v>1072.9916742877463</v>
      </c>
      <c r="E1834" s="14">
        <v>277.71265439858996</v>
      </c>
      <c r="F1834" s="14">
        <v>139.6362232202608</v>
      </c>
      <c r="G1834" s="14">
        <v>99.214448376320632</v>
      </c>
      <c r="H1834" s="14">
        <v>80.872466634193287</v>
      </c>
      <c r="I1834" s="14">
        <v>44.838264474415624</v>
      </c>
      <c r="J1834" s="14" t="s">
        <v>250</v>
      </c>
    </row>
    <row r="1835" spans="1:10" ht="15.75" x14ac:dyDescent="0.5">
      <c r="A1835" s="13" t="s">
        <v>337</v>
      </c>
      <c r="B1835" s="13" t="s">
        <v>403</v>
      </c>
      <c r="C1835" s="13" t="s">
        <v>400</v>
      </c>
      <c r="D1835" s="14" t="s">
        <v>250</v>
      </c>
      <c r="E1835" s="14" t="s">
        <v>250</v>
      </c>
      <c r="F1835" s="14">
        <v>210.95618212457637</v>
      </c>
      <c r="G1835" s="14">
        <v>210.95618212457623</v>
      </c>
      <c r="H1835" s="14">
        <v>42.990301373095512</v>
      </c>
      <c r="I1835" s="14">
        <v>42.990301373095512</v>
      </c>
      <c r="J1835" s="14">
        <v>12.606971519999982</v>
      </c>
    </row>
    <row r="1836" spans="1:10" ht="15.75" x14ac:dyDescent="0.5">
      <c r="A1836" s="13" t="s">
        <v>337</v>
      </c>
      <c r="B1836" s="13" t="s">
        <v>404</v>
      </c>
      <c r="C1836" s="13" t="s">
        <v>400</v>
      </c>
      <c r="D1836" s="14" t="s">
        <v>250</v>
      </c>
      <c r="E1836" s="14" t="s">
        <v>250</v>
      </c>
      <c r="F1836" s="14" t="s">
        <v>250</v>
      </c>
      <c r="G1836" s="14" t="s">
        <v>250</v>
      </c>
      <c r="H1836" s="14" t="s">
        <v>250</v>
      </c>
      <c r="I1836" s="14">
        <v>0.33069896914528535</v>
      </c>
      <c r="J1836" s="14">
        <v>40.403824879841466</v>
      </c>
    </row>
    <row r="1837" spans="1:10" ht="15.75" x14ac:dyDescent="0.5">
      <c r="A1837" s="13" t="s">
        <v>337</v>
      </c>
      <c r="B1837" s="13" t="s">
        <v>421</v>
      </c>
      <c r="C1837" s="13" t="s">
        <v>400</v>
      </c>
      <c r="D1837" s="14" t="s">
        <v>250</v>
      </c>
      <c r="E1837" s="14" t="s">
        <v>250</v>
      </c>
      <c r="F1837" s="14" t="s">
        <v>250</v>
      </c>
      <c r="G1837" s="14">
        <v>757.8235521457882</v>
      </c>
      <c r="H1837" s="14">
        <v>2028.9149959340873</v>
      </c>
      <c r="I1837" s="14">
        <v>1988.9911858170192</v>
      </c>
      <c r="J1837" s="14">
        <v>1503.3918823028621</v>
      </c>
    </row>
    <row r="1838" spans="1:10" ht="15.75" x14ac:dyDescent="0.5">
      <c r="A1838" s="13" t="s">
        <v>337</v>
      </c>
      <c r="B1838" s="13" t="s">
        <v>405</v>
      </c>
      <c r="C1838" s="13" t="s">
        <v>400</v>
      </c>
      <c r="D1838" s="14">
        <v>1259.3891290889951</v>
      </c>
      <c r="E1838" s="14">
        <v>1476.8056616739459</v>
      </c>
      <c r="F1838" s="14">
        <v>1377.4948911512672</v>
      </c>
      <c r="G1838" s="14">
        <v>1290.2990914625661</v>
      </c>
      <c r="H1838" s="14">
        <v>877.27856031426177</v>
      </c>
      <c r="I1838" s="14">
        <v>463.03645354553754</v>
      </c>
      <c r="J1838" s="14">
        <v>137.17132040145404</v>
      </c>
    </row>
    <row r="1839" spans="1:10" ht="15.75" x14ac:dyDescent="0.5">
      <c r="A1839" s="13" t="s">
        <v>337</v>
      </c>
      <c r="B1839" s="13" t="s">
        <v>406</v>
      </c>
      <c r="C1839" s="13" t="s">
        <v>400</v>
      </c>
      <c r="D1839" s="14">
        <v>23.479196814299335</v>
      </c>
      <c r="E1839" s="14">
        <v>30.315523432202045</v>
      </c>
      <c r="F1839" s="14">
        <v>45.135900533963039</v>
      </c>
      <c r="G1839" s="14">
        <v>53.085678324611571</v>
      </c>
      <c r="H1839" s="14">
        <v>66.976903785981946</v>
      </c>
      <c r="I1839" s="14">
        <v>80.222937522904104</v>
      </c>
      <c r="J1839" s="14">
        <v>108.71695657098293</v>
      </c>
    </row>
    <row r="1840" spans="1:10" ht="15.75" x14ac:dyDescent="0.5">
      <c r="A1840" s="13" t="s">
        <v>337</v>
      </c>
      <c r="B1840" s="13" t="s">
        <v>407</v>
      </c>
      <c r="C1840" s="13" t="s">
        <v>400</v>
      </c>
      <c r="D1840" s="14" t="s">
        <v>250</v>
      </c>
      <c r="E1840" s="14">
        <v>93.526414263301234</v>
      </c>
      <c r="F1840" s="14">
        <v>65.753665442923648</v>
      </c>
      <c r="G1840" s="14">
        <v>154.95376373713964</v>
      </c>
      <c r="H1840" s="14">
        <v>89.530712320823625</v>
      </c>
      <c r="I1840" s="14">
        <v>39.29309912476613</v>
      </c>
      <c r="J1840" s="14">
        <v>153.54399453904591</v>
      </c>
    </row>
    <row r="1841" spans="1:10" ht="15.75" x14ac:dyDescent="0.5">
      <c r="A1841" s="13" t="s">
        <v>337</v>
      </c>
      <c r="B1841" s="13" t="s">
        <v>408</v>
      </c>
      <c r="C1841" s="13" t="s">
        <v>400</v>
      </c>
      <c r="D1841" s="14">
        <v>46.892290321001219</v>
      </c>
      <c r="E1841" s="14">
        <v>30.109268066966187</v>
      </c>
      <c r="F1841" s="14">
        <v>22.80128088529932</v>
      </c>
      <c r="G1841" s="14">
        <v>38.975520859001243</v>
      </c>
      <c r="H1841" s="14">
        <v>33.708147827051057</v>
      </c>
      <c r="I1841" s="14">
        <v>23.972240567183604</v>
      </c>
      <c r="J1841" s="14">
        <v>44.780406877050318</v>
      </c>
    </row>
    <row r="1842" spans="1:10" ht="15.75" x14ac:dyDescent="0.5">
      <c r="A1842" s="13" t="s">
        <v>337</v>
      </c>
      <c r="B1842" s="13" t="s">
        <v>409</v>
      </c>
      <c r="C1842" s="13" t="s">
        <v>400</v>
      </c>
      <c r="D1842" s="14">
        <v>18.365704270000037</v>
      </c>
      <c r="E1842" s="14">
        <v>18.365704270000037</v>
      </c>
      <c r="F1842" s="14">
        <v>18.36570427000003</v>
      </c>
      <c r="G1842" s="14">
        <v>18.365704270000041</v>
      </c>
      <c r="H1842" s="14">
        <v>18.36570427000003</v>
      </c>
      <c r="I1842" s="14">
        <v>18.36570427000003</v>
      </c>
      <c r="J1842" s="14">
        <v>18.365704270000034</v>
      </c>
    </row>
    <row r="1843" spans="1:10" ht="15.75" x14ac:dyDescent="0.5">
      <c r="A1843" s="13" t="s">
        <v>337</v>
      </c>
      <c r="B1843" s="13" t="s">
        <v>410</v>
      </c>
      <c r="C1843" s="13" t="s">
        <v>400</v>
      </c>
      <c r="D1843" s="14">
        <v>245.79356253202215</v>
      </c>
      <c r="E1843" s="14">
        <v>245.1453894578797</v>
      </c>
      <c r="F1843" s="14">
        <v>245.95910966932476</v>
      </c>
      <c r="G1843" s="14">
        <v>246.0121463570018</v>
      </c>
      <c r="H1843" s="14">
        <v>246.12774988356026</v>
      </c>
      <c r="I1843" s="14">
        <v>245.72809502241984</v>
      </c>
      <c r="J1843" s="14">
        <v>246.09993972037114</v>
      </c>
    </row>
    <row r="1844" spans="1:10" ht="15.75" x14ac:dyDescent="0.5">
      <c r="A1844" s="13" t="s">
        <v>337</v>
      </c>
      <c r="B1844" s="13" t="s">
        <v>411</v>
      </c>
      <c r="C1844" s="13" t="s">
        <v>400</v>
      </c>
      <c r="D1844" s="14">
        <v>7.1394000000000144</v>
      </c>
      <c r="E1844" s="14">
        <v>3.5593489051094971</v>
      </c>
      <c r="F1844" s="14" t="s">
        <v>250</v>
      </c>
      <c r="G1844" s="14" t="s">
        <v>250</v>
      </c>
      <c r="H1844" s="14" t="s">
        <v>250</v>
      </c>
      <c r="I1844" s="14" t="s">
        <v>250</v>
      </c>
      <c r="J1844" s="14" t="s">
        <v>250</v>
      </c>
    </row>
    <row r="1845" spans="1:10" ht="15.75" x14ac:dyDescent="0.5">
      <c r="A1845" s="13" t="s">
        <v>337</v>
      </c>
      <c r="B1845" s="13" t="s">
        <v>412</v>
      </c>
      <c r="C1845" s="13" t="s">
        <v>400</v>
      </c>
      <c r="D1845" s="14">
        <v>760.72545968400175</v>
      </c>
      <c r="E1845" s="14">
        <v>744.84203793116649</v>
      </c>
      <c r="F1845" s="14">
        <v>616.62907706669534</v>
      </c>
      <c r="G1845" s="14">
        <v>685.14312340830975</v>
      </c>
      <c r="H1845" s="14">
        <v>675.78632925572197</v>
      </c>
      <c r="I1845" s="14">
        <v>547.48956748431112</v>
      </c>
      <c r="J1845" s="14">
        <v>774.521862452508</v>
      </c>
    </row>
    <row r="1846" spans="1:10" ht="15.75" x14ac:dyDescent="0.5">
      <c r="A1846" s="13" t="s">
        <v>337</v>
      </c>
      <c r="B1846" s="13" t="s">
        <v>413</v>
      </c>
      <c r="C1846" s="13" t="s">
        <v>400</v>
      </c>
      <c r="D1846" s="14">
        <v>23.702927619886136</v>
      </c>
      <c r="E1846" s="14">
        <v>28.760459620995046</v>
      </c>
      <c r="F1846" s="14">
        <v>12.324224901543236</v>
      </c>
      <c r="G1846" s="14">
        <v>4.0259226548423896</v>
      </c>
      <c r="H1846" s="14">
        <v>1.5800735159582913</v>
      </c>
      <c r="I1846" s="14">
        <v>0.25461788569092136</v>
      </c>
      <c r="J1846" s="14">
        <v>5.9597080291970833E-3</v>
      </c>
    </row>
    <row r="1847" spans="1:10" ht="15.75" x14ac:dyDescent="0.5">
      <c r="A1847" s="13" t="s">
        <v>337</v>
      </c>
      <c r="B1847" s="13" t="s">
        <v>414</v>
      </c>
      <c r="C1847" s="13" t="s">
        <v>400</v>
      </c>
      <c r="D1847" s="14">
        <v>0.68039077051095032</v>
      </c>
      <c r="E1847" s="14">
        <v>24.0717398746228</v>
      </c>
      <c r="F1847" s="14">
        <v>94.564794547697929</v>
      </c>
      <c r="G1847" s="14">
        <v>188.55707394179868</v>
      </c>
      <c r="H1847" s="14">
        <v>228.12178840400088</v>
      </c>
      <c r="I1847" s="14">
        <v>228.6988402466304</v>
      </c>
      <c r="J1847" s="14">
        <v>229.11102013422337</v>
      </c>
    </row>
    <row r="1848" spans="1:10" ht="15.75" x14ac:dyDescent="0.5">
      <c r="A1848" s="13" t="s">
        <v>337</v>
      </c>
      <c r="B1848" s="13" t="s">
        <v>415</v>
      </c>
      <c r="C1848" s="13" t="s">
        <v>400</v>
      </c>
      <c r="D1848" s="14">
        <v>440.5312448325555</v>
      </c>
      <c r="E1848" s="14">
        <v>870.25819246830861</v>
      </c>
      <c r="F1848" s="14">
        <v>1352.7855364472289</v>
      </c>
      <c r="G1848" s="14">
        <v>1432.7911243484314</v>
      </c>
      <c r="H1848" s="14">
        <v>1782.3459776027912</v>
      </c>
      <c r="I1848" s="14">
        <v>2584.7913158726251</v>
      </c>
      <c r="J1848" s="14">
        <v>3144.9278357879748</v>
      </c>
    </row>
    <row r="1849" spans="1:10" ht="15.75" x14ac:dyDescent="0.5">
      <c r="A1849" s="13" t="s">
        <v>337</v>
      </c>
      <c r="B1849" s="13" t="s">
        <v>416</v>
      </c>
      <c r="C1849" s="13" t="s">
        <v>400</v>
      </c>
      <c r="D1849" s="14" t="s">
        <v>250</v>
      </c>
      <c r="E1849" s="14">
        <v>54.174742594981026</v>
      </c>
      <c r="F1849" s="14">
        <v>66.675949052097494</v>
      </c>
      <c r="G1849" s="14">
        <v>76.801435170202097</v>
      </c>
      <c r="H1849" s="14">
        <v>77.990654991853702</v>
      </c>
      <c r="I1849" s="14">
        <v>82.68305730948768</v>
      </c>
      <c r="J1849" s="14">
        <v>94.727837483420942</v>
      </c>
    </row>
    <row r="1850" spans="1:10" ht="15.75" x14ac:dyDescent="0.5">
      <c r="A1850" s="13" t="s">
        <v>337</v>
      </c>
      <c r="B1850" s="13" t="s">
        <v>417</v>
      </c>
      <c r="C1850" s="13" t="s">
        <v>400</v>
      </c>
      <c r="D1850" s="14">
        <v>187.48709633408686</v>
      </c>
      <c r="E1850" s="14">
        <v>303.13607101121147</v>
      </c>
      <c r="F1850" s="14">
        <v>346.17820372066871</v>
      </c>
      <c r="G1850" s="14">
        <v>426.26442013461048</v>
      </c>
      <c r="H1850" s="14">
        <v>705.10306979020083</v>
      </c>
      <c r="I1850" s="14">
        <v>1786.5013993522891</v>
      </c>
      <c r="J1850" s="14">
        <v>2032.4984340815454</v>
      </c>
    </row>
    <row r="1851" spans="1:10" ht="15.75" x14ac:dyDescent="0.5">
      <c r="A1851" s="13" t="s">
        <v>337</v>
      </c>
      <c r="B1851" s="13" t="s">
        <v>418</v>
      </c>
      <c r="C1851" s="13" t="s">
        <v>400</v>
      </c>
      <c r="D1851" s="14">
        <v>3.1841751731019534</v>
      </c>
      <c r="E1851" s="14">
        <v>3.184175173101953</v>
      </c>
      <c r="F1851" s="14">
        <v>3.184175173101953</v>
      </c>
      <c r="G1851" s="14">
        <v>3.184175173101953</v>
      </c>
      <c r="H1851" s="14">
        <v>3.1841751731019534</v>
      </c>
      <c r="I1851" s="14">
        <v>3.1841751731019534</v>
      </c>
      <c r="J1851" s="14">
        <v>3.184175173101953</v>
      </c>
    </row>
    <row r="1852" spans="1:10" ht="15.75" x14ac:dyDescent="0.5">
      <c r="A1852" s="13" t="s">
        <v>337</v>
      </c>
      <c r="B1852" s="13" t="s">
        <v>419</v>
      </c>
      <c r="C1852" s="13" t="s">
        <v>400</v>
      </c>
      <c r="D1852" s="14">
        <v>0.54465920264079493</v>
      </c>
      <c r="E1852" s="14">
        <v>8.7745738651923428</v>
      </c>
      <c r="F1852" s="14">
        <v>19.949021471241068</v>
      </c>
      <c r="G1852" s="14">
        <v>26.020181272931513</v>
      </c>
      <c r="H1852" s="14">
        <v>64.470540485490659</v>
      </c>
      <c r="I1852" s="14">
        <v>267.78372879074476</v>
      </c>
      <c r="J1852" s="14">
        <v>657.89451553797664</v>
      </c>
    </row>
    <row r="1853" spans="1:10" ht="15.75" x14ac:dyDescent="0.5">
      <c r="A1853" s="13" t="s">
        <v>337</v>
      </c>
      <c r="B1853" s="13" t="s">
        <v>420</v>
      </c>
      <c r="C1853" s="13" t="s">
        <v>400</v>
      </c>
      <c r="D1853" s="14">
        <v>-13.987252957808407</v>
      </c>
      <c r="E1853" s="14">
        <v>-13.977517444763953</v>
      </c>
      <c r="F1853" s="14">
        <v>-13.441908841845011</v>
      </c>
      <c r="G1853" s="14">
        <v>-11.572484366572066</v>
      </c>
      <c r="H1853" s="14">
        <v>-15.187795656029511</v>
      </c>
      <c r="I1853" s="14">
        <v>-17.417318932483457</v>
      </c>
      <c r="J1853" s="14">
        <v>-16.34973315146015</v>
      </c>
    </row>
    <row r="1854" spans="1:10" ht="15.75" x14ac:dyDescent="0.5">
      <c r="A1854" s="13" t="s">
        <v>338</v>
      </c>
      <c r="B1854" s="13" t="s">
        <v>399</v>
      </c>
      <c r="C1854" s="13" t="s">
        <v>400</v>
      </c>
      <c r="D1854" s="14">
        <v>7.2499064625597898</v>
      </c>
      <c r="E1854" s="14">
        <v>4.2389343065693544E-2</v>
      </c>
      <c r="F1854" s="14">
        <v>0.51246000000000103</v>
      </c>
      <c r="G1854" s="14">
        <v>1.0101488567393822</v>
      </c>
      <c r="H1854" s="14">
        <v>0.67455727202928073</v>
      </c>
      <c r="I1854" s="14">
        <v>3.4920000000000062E-2</v>
      </c>
      <c r="J1854" s="14">
        <v>0.51085642617822835</v>
      </c>
    </row>
    <row r="1855" spans="1:10" ht="15.75" x14ac:dyDescent="0.5">
      <c r="A1855" s="13" t="s">
        <v>338</v>
      </c>
      <c r="B1855" s="13" t="s">
        <v>401</v>
      </c>
      <c r="C1855" s="13" t="s">
        <v>400</v>
      </c>
      <c r="D1855" s="14" t="s">
        <v>250</v>
      </c>
      <c r="E1855" s="14" t="s">
        <v>250</v>
      </c>
      <c r="F1855" s="14">
        <v>101.69857271974166</v>
      </c>
      <c r="G1855" s="14">
        <v>101.69857271974168</v>
      </c>
      <c r="H1855" s="14">
        <v>15.021882374245576</v>
      </c>
      <c r="I1855" s="14">
        <v>11.636961456741744</v>
      </c>
      <c r="J1855" s="14" t="s">
        <v>250</v>
      </c>
    </row>
    <row r="1856" spans="1:10" ht="15.75" x14ac:dyDescent="0.5">
      <c r="A1856" s="13" t="s">
        <v>338</v>
      </c>
      <c r="B1856" s="13" t="s">
        <v>402</v>
      </c>
      <c r="C1856" s="13" t="s">
        <v>400</v>
      </c>
      <c r="D1856" s="14">
        <v>1072.9916742877463</v>
      </c>
      <c r="E1856" s="14">
        <v>277.40124788356707</v>
      </c>
      <c r="F1856" s="14">
        <v>138.39216940201533</v>
      </c>
      <c r="G1856" s="14">
        <v>97.498751325676935</v>
      </c>
      <c r="H1856" s="14">
        <v>89.863430589511665</v>
      </c>
      <c r="I1856" s="14">
        <v>45.485980639647131</v>
      </c>
      <c r="J1856" s="14" t="s">
        <v>250</v>
      </c>
    </row>
    <row r="1857" spans="1:10" ht="15.75" x14ac:dyDescent="0.5">
      <c r="A1857" s="13" t="s">
        <v>338</v>
      </c>
      <c r="B1857" s="13" t="s">
        <v>403</v>
      </c>
      <c r="C1857" s="13" t="s">
        <v>400</v>
      </c>
      <c r="D1857" s="14" t="s">
        <v>250</v>
      </c>
      <c r="E1857" s="14" t="s">
        <v>250</v>
      </c>
      <c r="F1857" s="14">
        <v>250.91859995921908</v>
      </c>
      <c r="G1857" s="14">
        <v>250.91859995921905</v>
      </c>
      <c r="H1857" s="14">
        <v>51.194558727360537</v>
      </c>
      <c r="I1857" s="14">
        <v>51.194558727360544</v>
      </c>
      <c r="J1857" s="14" t="s">
        <v>250</v>
      </c>
    </row>
    <row r="1858" spans="1:10" ht="15.75" x14ac:dyDescent="0.5">
      <c r="A1858" s="13" t="s">
        <v>338</v>
      </c>
      <c r="B1858" s="13" t="s">
        <v>404</v>
      </c>
      <c r="C1858" s="13" t="s">
        <v>400</v>
      </c>
      <c r="D1858" s="14" t="s">
        <v>250</v>
      </c>
      <c r="E1858" s="14" t="s">
        <v>250</v>
      </c>
      <c r="F1858" s="14" t="s">
        <v>250</v>
      </c>
      <c r="G1858" s="14" t="s">
        <v>250</v>
      </c>
      <c r="H1858" s="14" t="s">
        <v>250</v>
      </c>
      <c r="I1858" s="14">
        <v>0.33069896914528529</v>
      </c>
      <c r="J1858" s="14">
        <v>8.0073605288877658</v>
      </c>
    </row>
    <row r="1859" spans="1:10" ht="15.75" x14ac:dyDescent="0.5">
      <c r="A1859" s="13" t="s">
        <v>338</v>
      </c>
      <c r="B1859" s="13" t="s">
        <v>421</v>
      </c>
      <c r="C1859" s="13" t="s">
        <v>400</v>
      </c>
      <c r="D1859" s="14" t="s">
        <v>250</v>
      </c>
      <c r="E1859" s="14" t="s">
        <v>250</v>
      </c>
      <c r="F1859" s="14" t="s">
        <v>250</v>
      </c>
      <c r="G1859" s="14">
        <v>703.18436544319059</v>
      </c>
      <c r="H1859" s="14">
        <v>1890.8884075233148</v>
      </c>
      <c r="I1859" s="14">
        <v>1865.4731328397795</v>
      </c>
      <c r="J1859" s="14">
        <v>321.82221120400823</v>
      </c>
    </row>
    <row r="1860" spans="1:10" ht="15.75" x14ac:dyDescent="0.5">
      <c r="A1860" s="13" t="s">
        <v>338</v>
      </c>
      <c r="B1860" s="13" t="s">
        <v>405</v>
      </c>
      <c r="C1860" s="13" t="s">
        <v>400</v>
      </c>
      <c r="D1860" s="14">
        <v>1259.389129088996</v>
      </c>
      <c r="E1860" s="14">
        <v>1476.089968397001</v>
      </c>
      <c r="F1860" s="14">
        <v>1347.9859286128278</v>
      </c>
      <c r="G1860" s="14">
        <v>1290.9285036897552</v>
      </c>
      <c r="H1860" s="14">
        <v>849.53207000828058</v>
      </c>
      <c r="I1860" s="14">
        <v>454.81212252941526</v>
      </c>
      <c r="J1860" s="14">
        <v>168.99544794658459</v>
      </c>
    </row>
    <row r="1861" spans="1:10" ht="15.75" x14ac:dyDescent="0.5">
      <c r="A1861" s="13" t="s">
        <v>338</v>
      </c>
      <c r="B1861" s="13" t="s">
        <v>406</v>
      </c>
      <c r="C1861" s="13" t="s">
        <v>400</v>
      </c>
      <c r="D1861" s="14">
        <v>23.479196814299332</v>
      </c>
      <c r="E1861" s="14">
        <v>29.902330044584033</v>
      </c>
      <c r="F1861" s="14">
        <v>45.075462132379052</v>
      </c>
      <c r="G1861" s="14">
        <v>53.512145177236469</v>
      </c>
      <c r="H1861" s="14">
        <v>68.411117307803863</v>
      </c>
      <c r="I1861" s="14">
        <v>85.134634856976419</v>
      </c>
      <c r="J1861" s="14">
        <v>108.7091137474323</v>
      </c>
    </row>
    <row r="1862" spans="1:10" ht="15.75" x14ac:dyDescent="0.5">
      <c r="A1862" s="13" t="s">
        <v>338</v>
      </c>
      <c r="B1862" s="13" t="s">
        <v>407</v>
      </c>
      <c r="C1862" s="13" t="s">
        <v>400</v>
      </c>
      <c r="D1862" s="14" t="s">
        <v>250</v>
      </c>
      <c r="E1862" s="14">
        <v>93.621201405972485</v>
      </c>
      <c r="F1862" s="14">
        <v>58.857395124006537</v>
      </c>
      <c r="G1862" s="14">
        <v>168.25874188988865</v>
      </c>
      <c r="H1862" s="14">
        <v>81.444311128523594</v>
      </c>
      <c r="I1862" s="14">
        <v>25.934108366173373</v>
      </c>
      <c r="J1862" s="14">
        <v>53.167327981601787</v>
      </c>
    </row>
    <row r="1863" spans="1:10" ht="15.75" x14ac:dyDescent="0.5">
      <c r="A1863" s="13" t="s">
        <v>338</v>
      </c>
      <c r="B1863" s="13" t="s">
        <v>408</v>
      </c>
      <c r="C1863" s="13" t="s">
        <v>400</v>
      </c>
      <c r="D1863" s="14">
        <v>46.892290321001241</v>
      </c>
      <c r="E1863" s="14">
        <v>30.094296704519937</v>
      </c>
      <c r="F1863" s="14">
        <v>22.693473991607409</v>
      </c>
      <c r="G1863" s="14">
        <v>42.340941460583942</v>
      </c>
      <c r="H1863" s="14">
        <v>32.93953626871842</v>
      </c>
      <c r="I1863" s="14">
        <v>25.074975714372254</v>
      </c>
      <c r="J1863" s="14">
        <v>35.867690177594987</v>
      </c>
    </row>
    <row r="1864" spans="1:10" ht="15.75" x14ac:dyDescent="0.5">
      <c r="A1864" s="13" t="s">
        <v>338</v>
      </c>
      <c r="B1864" s="13" t="s">
        <v>409</v>
      </c>
      <c r="C1864" s="13" t="s">
        <v>400</v>
      </c>
      <c r="D1864" s="14">
        <v>18.365704270000034</v>
      </c>
      <c r="E1864" s="14">
        <v>18.365704270000041</v>
      </c>
      <c r="F1864" s="14">
        <v>18.365704270000034</v>
      </c>
      <c r="G1864" s="14">
        <v>18.365704270000034</v>
      </c>
      <c r="H1864" s="14">
        <v>18.365704270000034</v>
      </c>
      <c r="I1864" s="14">
        <v>18.229755913401714</v>
      </c>
      <c r="J1864" s="14">
        <v>18.365704270000037</v>
      </c>
    </row>
    <row r="1865" spans="1:10" ht="15.75" x14ac:dyDescent="0.5">
      <c r="A1865" s="13" t="s">
        <v>338</v>
      </c>
      <c r="B1865" s="13" t="s">
        <v>410</v>
      </c>
      <c r="C1865" s="13" t="s">
        <v>400</v>
      </c>
      <c r="D1865" s="14">
        <v>245.79356253202215</v>
      </c>
      <c r="E1865" s="14">
        <v>245.1297059795221</v>
      </c>
      <c r="F1865" s="14">
        <v>245.93654994960127</v>
      </c>
      <c r="G1865" s="14">
        <v>246.05014754043862</v>
      </c>
      <c r="H1865" s="14">
        <v>246.08395017833516</v>
      </c>
      <c r="I1865" s="14">
        <v>245.65807754321239</v>
      </c>
      <c r="J1865" s="14">
        <v>245.95050037242245</v>
      </c>
    </row>
    <row r="1866" spans="1:10" ht="15.75" x14ac:dyDescent="0.5">
      <c r="A1866" s="13" t="s">
        <v>338</v>
      </c>
      <c r="B1866" s="13" t="s">
        <v>411</v>
      </c>
      <c r="C1866" s="13" t="s">
        <v>400</v>
      </c>
      <c r="D1866" s="14">
        <v>7.139400000000018</v>
      </c>
      <c r="E1866" s="14">
        <v>3.559348905109498</v>
      </c>
      <c r="F1866" s="14" t="s">
        <v>250</v>
      </c>
      <c r="G1866" s="14" t="s">
        <v>250</v>
      </c>
      <c r="H1866" s="14" t="s">
        <v>250</v>
      </c>
      <c r="I1866" s="14" t="s">
        <v>250</v>
      </c>
      <c r="J1866" s="14" t="s">
        <v>250</v>
      </c>
    </row>
    <row r="1867" spans="1:10" ht="15.75" x14ac:dyDescent="0.5">
      <c r="A1867" s="13" t="s">
        <v>338</v>
      </c>
      <c r="B1867" s="13" t="s">
        <v>412</v>
      </c>
      <c r="C1867" s="13" t="s">
        <v>400</v>
      </c>
      <c r="D1867" s="14">
        <v>760.72545968400175</v>
      </c>
      <c r="E1867" s="14">
        <v>746.32772072318983</v>
      </c>
      <c r="F1867" s="14">
        <v>618.5915765759795</v>
      </c>
      <c r="G1867" s="14">
        <v>700.37040610971235</v>
      </c>
      <c r="H1867" s="14">
        <v>754.34782095770811</v>
      </c>
      <c r="I1867" s="14">
        <v>971.72826646815236</v>
      </c>
      <c r="J1867" s="14">
        <v>3071.8931834025652</v>
      </c>
    </row>
    <row r="1868" spans="1:10" ht="15.75" x14ac:dyDescent="0.5">
      <c r="A1868" s="13" t="s">
        <v>338</v>
      </c>
      <c r="B1868" s="13" t="s">
        <v>413</v>
      </c>
      <c r="C1868" s="13" t="s">
        <v>400</v>
      </c>
      <c r="D1868" s="14">
        <v>23.702927619886133</v>
      </c>
      <c r="E1868" s="14">
        <v>28.616572468522108</v>
      </c>
      <c r="F1868" s="14">
        <v>11.903382641305633</v>
      </c>
      <c r="G1868" s="14">
        <v>4.213525947006616</v>
      </c>
      <c r="H1868" s="14">
        <v>2.0711356805356247</v>
      </c>
      <c r="I1868" s="14">
        <v>0.28460767285008837</v>
      </c>
      <c r="J1868" s="14" t="s">
        <v>250</v>
      </c>
    </row>
    <row r="1869" spans="1:10" ht="15.75" x14ac:dyDescent="0.5">
      <c r="A1869" s="13" t="s">
        <v>338</v>
      </c>
      <c r="B1869" s="13" t="s">
        <v>414</v>
      </c>
      <c r="C1869" s="13" t="s">
        <v>400</v>
      </c>
      <c r="D1869" s="14">
        <v>0.6803907705109502</v>
      </c>
      <c r="E1869" s="14">
        <v>24.066226779957283</v>
      </c>
      <c r="F1869" s="14">
        <v>94.556955545865009</v>
      </c>
      <c r="G1869" s="14">
        <v>188.58794014947003</v>
      </c>
      <c r="H1869" s="14">
        <v>228.17213618564844</v>
      </c>
      <c r="I1869" s="14">
        <v>228.74933478425197</v>
      </c>
      <c r="J1869" s="14">
        <v>229.16161949754067</v>
      </c>
    </row>
    <row r="1870" spans="1:10" ht="15.75" x14ac:dyDescent="0.5">
      <c r="A1870" s="13" t="s">
        <v>338</v>
      </c>
      <c r="B1870" s="13" t="s">
        <v>415</v>
      </c>
      <c r="C1870" s="13" t="s">
        <v>400</v>
      </c>
      <c r="D1870" s="14">
        <v>440.53124483255556</v>
      </c>
      <c r="E1870" s="14">
        <v>870.25819236039069</v>
      </c>
      <c r="F1870" s="14">
        <v>1347.8660870414556</v>
      </c>
      <c r="G1870" s="14">
        <v>1412.3152783440632</v>
      </c>
      <c r="H1870" s="14">
        <v>1811.8313743073593</v>
      </c>
      <c r="I1870" s="14">
        <v>2454.8015709147298</v>
      </c>
      <c r="J1870" s="14">
        <v>2565.7802882050173</v>
      </c>
    </row>
    <row r="1871" spans="1:10" ht="15.75" x14ac:dyDescent="0.5">
      <c r="A1871" s="13" t="s">
        <v>338</v>
      </c>
      <c r="B1871" s="13" t="s">
        <v>416</v>
      </c>
      <c r="C1871" s="13" t="s">
        <v>400</v>
      </c>
      <c r="D1871" s="14" t="s">
        <v>250</v>
      </c>
      <c r="E1871" s="14">
        <v>54.174742594981026</v>
      </c>
      <c r="F1871" s="14">
        <v>66.675949052097494</v>
      </c>
      <c r="G1871" s="14">
        <v>76.80143517020214</v>
      </c>
      <c r="H1871" s="14">
        <v>77.990654991853702</v>
      </c>
      <c r="I1871" s="14">
        <v>82.683057309487708</v>
      </c>
      <c r="J1871" s="14">
        <v>94.727837483420984</v>
      </c>
    </row>
    <row r="1872" spans="1:10" ht="15.75" x14ac:dyDescent="0.5">
      <c r="A1872" s="13" t="s">
        <v>338</v>
      </c>
      <c r="B1872" s="13" t="s">
        <v>417</v>
      </c>
      <c r="C1872" s="13" t="s">
        <v>400</v>
      </c>
      <c r="D1872" s="14">
        <v>187.48709633408694</v>
      </c>
      <c r="E1872" s="14">
        <v>303.02303812850016</v>
      </c>
      <c r="F1872" s="14">
        <v>346.00631572613327</v>
      </c>
      <c r="G1872" s="14">
        <v>423.10497159895442</v>
      </c>
      <c r="H1872" s="14">
        <v>741.68295730147645</v>
      </c>
      <c r="I1872" s="14">
        <v>1418.5296013388149</v>
      </c>
      <c r="J1872" s="14">
        <v>1556.1065489012472</v>
      </c>
    </row>
    <row r="1873" spans="1:10" ht="15.75" x14ac:dyDescent="0.5">
      <c r="A1873" s="13" t="s">
        <v>338</v>
      </c>
      <c r="B1873" s="13" t="s">
        <v>418</v>
      </c>
      <c r="C1873" s="13" t="s">
        <v>400</v>
      </c>
      <c r="D1873" s="14">
        <v>3.184175173101953</v>
      </c>
      <c r="E1873" s="14">
        <v>3.184175173101953</v>
      </c>
      <c r="F1873" s="14">
        <v>3.1841751731019534</v>
      </c>
      <c r="G1873" s="14">
        <v>3.1841751731019534</v>
      </c>
      <c r="H1873" s="14">
        <v>3.1841751731019539</v>
      </c>
      <c r="I1873" s="14">
        <v>3.184175173101953</v>
      </c>
      <c r="J1873" s="14">
        <v>3.1841751731019539</v>
      </c>
    </row>
    <row r="1874" spans="1:10" ht="15.75" x14ac:dyDescent="0.5">
      <c r="A1874" s="13" t="s">
        <v>338</v>
      </c>
      <c r="B1874" s="13" t="s">
        <v>419</v>
      </c>
      <c r="C1874" s="13" t="s">
        <v>400</v>
      </c>
      <c r="D1874" s="14">
        <v>0.54465920264079504</v>
      </c>
      <c r="E1874" s="14">
        <v>8.8151080574639149</v>
      </c>
      <c r="F1874" s="14">
        <v>20.048881175525221</v>
      </c>
      <c r="G1874" s="14">
        <v>27.561424705592614</v>
      </c>
      <c r="H1874" s="14">
        <v>59.714298172581103</v>
      </c>
      <c r="I1874" s="14">
        <v>165.27504181140458</v>
      </c>
      <c r="J1874" s="14">
        <v>202.50257096633743</v>
      </c>
    </row>
    <row r="1875" spans="1:10" ht="15.75" x14ac:dyDescent="0.5">
      <c r="A1875" s="13" t="s">
        <v>338</v>
      </c>
      <c r="B1875" s="13" t="s">
        <v>420</v>
      </c>
      <c r="C1875" s="13" t="s">
        <v>400</v>
      </c>
      <c r="D1875" s="14">
        <v>-13.987252957808369</v>
      </c>
      <c r="E1875" s="14">
        <v>-13.964950714173114</v>
      </c>
      <c r="F1875" s="14">
        <v>-13.598996573040603</v>
      </c>
      <c r="G1875" s="14">
        <v>-11.796022709488852</v>
      </c>
      <c r="H1875" s="14">
        <v>-15.498780526579061</v>
      </c>
      <c r="I1875" s="14">
        <v>-18.701088290225492</v>
      </c>
      <c r="J1875" s="14">
        <v>-19.391551122879534</v>
      </c>
    </row>
    <row r="1876" spans="1:10" ht="15.75" x14ac:dyDescent="0.5">
      <c r="A1876" s="13" t="s">
        <v>339</v>
      </c>
      <c r="B1876" s="13" t="s">
        <v>399</v>
      </c>
      <c r="C1876" s="13" t="s">
        <v>400</v>
      </c>
      <c r="D1876" s="14">
        <v>7.2499064625597898</v>
      </c>
      <c r="E1876" s="14">
        <v>4.2389343065693544E-2</v>
      </c>
      <c r="F1876" s="14">
        <v>0.51246000000000103</v>
      </c>
      <c r="G1876" s="14">
        <v>1.025182972151633</v>
      </c>
      <c r="H1876" s="14">
        <v>0.55764471519210224</v>
      </c>
      <c r="I1876" s="14">
        <v>1.790172262773727E-2</v>
      </c>
      <c r="J1876" s="14">
        <v>2.7477592230920398</v>
      </c>
    </row>
    <row r="1877" spans="1:10" ht="15.75" x14ac:dyDescent="0.5">
      <c r="A1877" s="13" t="s">
        <v>339</v>
      </c>
      <c r="B1877" s="13" t="s">
        <v>401</v>
      </c>
      <c r="C1877" s="13" t="s">
        <v>400</v>
      </c>
      <c r="D1877" s="14" t="s">
        <v>250</v>
      </c>
      <c r="E1877" s="14" t="s">
        <v>250</v>
      </c>
      <c r="F1877" s="14">
        <v>97.301298871455856</v>
      </c>
      <c r="G1877" s="14">
        <v>97.30129887145587</v>
      </c>
      <c r="H1877" s="14">
        <v>7.4067038891893837</v>
      </c>
      <c r="I1877" s="14">
        <v>5.2628697134825213</v>
      </c>
      <c r="J1877" s="14" t="s">
        <v>250</v>
      </c>
    </row>
    <row r="1878" spans="1:10" ht="15.75" x14ac:dyDescent="0.5">
      <c r="A1878" s="13" t="s">
        <v>339</v>
      </c>
      <c r="B1878" s="13" t="s">
        <v>402</v>
      </c>
      <c r="C1878" s="13" t="s">
        <v>400</v>
      </c>
      <c r="D1878" s="14">
        <v>1072.9916742877467</v>
      </c>
      <c r="E1878" s="14">
        <v>281.68878124544693</v>
      </c>
      <c r="F1878" s="14">
        <v>142.35410884358021</v>
      </c>
      <c r="G1878" s="14">
        <v>114.10300649160227</v>
      </c>
      <c r="H1878" s="14">
        <v>93.794294001411956</v>
      </c>
      <c r="I1878" s="14">
        <v>41.437894676901031</v>
      </c>
      <c r="J1878" s="14" t="s">
        <v>250</v>
      </c>
    </row>
    <row r="1879" spans="1:10" ht="15.75" x14ac:dyDescent="0.5">
      <c r="A1879" s="13" t="s">
        <v>339</v>
      </c>
      <c r="B1879" s="13" t="s">
        <v>403</v>
      </c>
      <c r="C1879" s="13" t="s">
        <v>400</v>
      </c>
      <c r="D1879" s="14" t="s">
        <v>250</v>
      </c>
      <c r="E1879" s="14" t="s">
        <v>250</v>
      </c>
      <c r="F1879" s="14">
        <v>94.56020848525678</v>
      </c>
      <c r="G1879" s="14">
        <v>94.56020848525678</v>
      </c>
      <c r="H1879" s="14">
        <v>19.110968559723318</v>
      </c>
      <c r="I1879" s="14">
        <v>19.110968559723315</v>
      </c>
      <c r="J1879" s="14" t="s">
        <v>250</v>
      </c>
    </row>
    <row r="1880" spans="1:10" ht="15.75" x14ac:dyDescent="0.5">
      <c r="A1880" s="13" t="s">
        <v>339</v>
      </c>
      <c r="B1880" s="13" t="s">
        <v>404</v>
      </c>
      <c r="C1880" s="13" t="s">
        <v>400</v>
      </c>
      <c r="D1880" s="14" t="s">
        <v>250</v>
      </c>
      <c r="E1880" s="14" t="s">
        <v>250</v>
      </c>
      <c r="F1880" s="14" t="s">
        <v>250</v>
      </c>
      <c r="G1880" s="14" t="s">
        <v>250</v>
      </c>
      <c r="H1880" s="14" t="s">
        <v>250</v>
      </c>
      <c r="I1880" s="14">
        <v>0.33069896914528524</v>
      </c>
      <c r="J1880" s="14">
        <v>32.208272786530038</v>
      </c>
    </row>
    <row r="1881" spans="1:10" ht="15.75" x14ac:dyDescent="0.5">
      <c r="A1881" s="13" t="s">
        <v>339</v>
      </c>
      <c r="B1881" s="13" t="s">
        <v>421</v>
      </c>
      <c r="C1881" s="13" t="s">
        <v>400</v>
      </c>
      <c r="D1881" s="14" t="s">
        <v>250</v>
      </c>
      <c r="E1881" s="14" t="s">
        <v>250</v>
      </c>
      <c r="F1881" s="14" t="s">
        <v>250</v>
      </c>
      <c r="G1881" s="14">
        <v>986.01535760891784</v>
      </c>
      <c r="H1881" s="14">
        <v>2608.3573118290556</v>
      </c>
      <c r="I1881" s="14">
        <v>2478.2069304989741</v>
      </c>
      <c r="J1881" s="14">
        <v>1875.5688464977711</v>
      </c>
    </row>
    <row r="1882" spans="1:10" ht="15.75" x14ac:dyDescent="0.5">
      <c r="A1882" s="13" t="s">
        <v>339</v>
      </c>
      <c r="B1882" s="13" t="s">
        <v>405</v>
      </c>
      <c r="C1882" s="13" t="s">
        <v>400</v>
      </c>
      <c r="D1882" s="14">
        <v>1259.3891290889947</v>
      </c>
      <c r="E1882" s="14">
        <v>1472.0298618141564</v>
      </c>
      <c r="F1882" s="14">
        <v>1481.4926247676567</v>
      </c>
      <c r="G1882" s="14">
        <v>1247.1572717719584</v>
      </c>
      <c r="H1882" s="14">
        <v>641.05961142213778</v>
      </c>
      <c r="I1882" s="14">
        <v>461.6624513527965</v>
      </c>
      <c r="J1882" s="14">
        <v>123.14493127701849</v>
      </c>
    </row>
    <row r="1883" spans="1:10" ht="15.75" x14ac:dyDescent="0.5">
      <c r="A1883" s="13" t="s">
        <v>339</v>
      </c>
      <c r="B1883" s="13" t="s">
        <v>406</v>
      </c>
      <c r="C1883" s="13" t="s">
        <v>400</v>
      </c>
      <c r="D1883" s="14">
        <v>23.479196814299335</v>
      </c>
      <c r="E1883" s="14">
        <v>31.455469626475665</v>
      </c>
      <c r="F1883" s="14">
        <v>46.483352184444684</v>
      </c>
      <c r="G1883" s="14">
        <v>52.952894310594871</v>
      </c>
      <c r="H1883" s="14">
        <v>61.751665280071279</v>
      </c>
      <c r="I1883" s="14">
        <v>80.060756088700728</v>
      </c>
      <c r="J1883" s="14">
        <v>107.2974300543531</v>
      </c>
    </row>
    <row r="1884" spans="1:10" ht="15.75" x14ac:dyDescent="0.5">
      <c r="A1884" s="13" t="s">
        <v>339</v>
      </c>
      <c r="B1884" s="13" t="s">
        <v>407</v>
      </c>
      <c r="C1884" s="13" t="s">
        <v>400</v>
      </c>
      <c r="D1884" s="14" t="s">
        <v>250</v>
      </c>
      <c r="E1884" s="14">
        <v>92.819036274332859</v>
      </c>
      <c r="F1884" s="14">
        <v>94.005103675014425</v>
      </c>
      <c r="G1884" s="14">
        <v>124.39174308386683</v>
      </c>
      <c r="H1884" s="14">
        <v>76.557437119854768</v>
      </c>
      <c r="I1884" s="14">
        <v>34.531057241539145</v>
      </c>
      <c r="J1884" s="14">
        <v>147.56145788854204</v>
      </c>
    </row>
    <row r="1885" spans="1:10" ht="15.75" x14ac:dyDescent="0.5">
      <c r="A1885" s="13" t="s">
        <v>339</v>
      </c>
      <c r="B1885" s="13" t="s">
        <v>408</v>
      </c>
      <c r="C1885" s="13" t="s">
        <v>400</v>
      </c>
      <c r="D1885" s="14">
        <v>46.892290321001227</v>
      </c>
      <c r="E1885" s="14">
        <v>30.39310833834687</v>
      </c>
      <c r="F1885" s="14">
        <v>23.358566784427172</v>
      </c>
      <c r="G1885" s="14">
        <v>32.073678498998113</v>
      </c>
      <c r="H1885" s="14">
        <v>21.89722878888325</v>
      </c>
      <c r="I1885" s="14">
        <v>15.289574044383308</v>
      </c>
      <c r="J1885" s="14">
        <v>44.472846058318432</v>
      </c>
    </row>
    <row r="1886" spans="1:10" ht="15.75" x14ac:dyDescent="0.5">
      <c r="A1886" s="13" t="s">
        <v>339</v>
      </c>
      <c r="B1886" s="13" t="s">
        <v>409</v>
      </c>
      <c r="C1886" s="13" t="s">
        <v>400</v>
      </c>
      <c r="D1886" s="14">
        <v>18.365704270000034</v>
      </c>
      <c r="E1886" s="14">
        <v>18.36570427000003</v>
      </c>
      <c r="F1886" s="14">
        <v>18.36570427000003</v>
      </c>
      <c r="G1886" s="14">
        <v>18.36570427000003</v>
      </c>
      <c r="H1886" s="14">
        <v>18.365704270000034</v>
      </c>
      <c r="I1886" s="14">
        <v>18.365704270000037</v>
      </c>
      <c r="J1886" s="14">
        <v>18.365704270000037</v>
      </c>
    </row>
    <row r="1887" spans="1:10" ht="15.75" x14ac:dyDescent="0.5">
      <c r="A1887" s="13" t="s">
        <v>339</v>
      </c>
      <c r="B1887" s="13" t="s">
        <v>410</v>
      </c>
      <c r="C1887" s="13" t="s">
        <v>400</v>
      </c>
      <c r="D1887" s="14">
        <v>245.79356253202207</v>
      </c>
      <c r="E1887" s="14">
        <v>245.16131813727804</v>
      </c>
      <c r="F1887" s="14">
        <v>245.96995175677583</v>
      </c>
      <c r="G1887" s="14">
        <v>245.99093194814139</v>
      </c>
      <c r="H1887" s="14">
        <v>246.16997594139127</v>
      </c>
      <c r="I1887" s="14">
        <v>245.89370507302172</v>
      </c>
      <c r="J1887" s="14">
        <v>246.10187707977431</v>
      </c>
    </row>
    <row r="1888" spans="1:10" ht="15.75" x14ac:dyDescent="0.5">
      <c r="A1888" s="13" t="s">
        <v>339</v>
      </c>
      <c r="B1888" s="13" t="s">
        <v>411</v>
      </c>
      <c r="C1888" s="13" t="s">
        <v>400</v>
      </c>
      <c r="D1888" s="14">
        <v>7.139400000000018</v>
      </c>
      <c r="E1888" s="14">
        <v>3.559348905109498</v>
      </c>
      <c r="F1888" s="14" t="s">
        <v>250</v>
      </c>
      <c r="G1888" s="14" t="s">
        <v>250</v>
      </c>
      <c r="H1888" s="14" t="s">
        <v>250</v>
      </c>
      <c r="I1888" s="14" t="s">
        <v>250</v>
      </c>
      <c r="J1888" s="14" t="s">
        <v>250</v>
      </c>
    </row>
    <row r="1889" spans="1:10" ht="15.75" x14ac:dyDescent="0.5">
      <c r="A1889" s="13" t="s">
        <v>339</v>
      </c>
      <c r="B1889" s="13" t="s">
        <v>412</v>
      </c>
      <c r="C1889" s="13" t="s">
        <v>400</v>
      </c>
      <c r="D1889" s="14">
        <v>760.72545968400152</v>
      </c>
      <c r="E1889" s="14">
        <v>745.07085492996487</v>
      </c>
      <c r="F1889" s="14">
        <v>594.64848115437837</v>
      </c>
      <c r="G1889" s="14">
        <v>648.86775601054535</v>
      </c>
      <c r="H1889" s="14">
        <v>598.94477936267685</v>
      </c>
      <c r="I1889" s="14">
        <v>332.69861336508467</v>
      </c>
      <c r="J1889" s="14">
        <v>593.87972620990445</v>
      </c>
    </row>
    <row r="1890" spans="1:10" ht="15.75" x14ac:dyDescent="0.5">
      <c r="A1890" s="13" t="s">
        <v>339</v>
      </c>
      <c r="B1890" s="13" t="s">
        <v>413</v>
      </c>
      <c r="C1890" s="13" t="s">
        <v>400</v>
      </c>
      <c r="D1890" s="14">
        <v>23.70292761988614</v>
      </c>
      <c r="E1890" s="14">
        <v>29.294245733562633</v>
      </c>
      <c r="F1890" s="14">
        <v>13.630392793537123</v>
      </c>
      <c r="G1890" s="14">
        <v>4.0737912877285192</v>
      </c>
      <c r="H1890" s="14">
        <v>2.0256771020880184</v>
      </c>
      <c r="I1890" s="14">
        <v>0.23485390205639761</v>
      </c>
      <c r="J1890" s="14">
        <v>5.9597080291970833E-3</v>
      </c>
    </row>
    <row r="1891" spans="1:10" ht="15.75" x14ac:dyDescent="0.5">
      <c r="A1891" s="13" t="s">
        <v>339</v>
      </c>
      <c r="B1891" s="13" t="s">
        <v>414</v>
      </c>
      <c r="C1891" s="13" t="s">
        <v>400</v>
      </c>
      <c r="D1891" s="14">
        <v>0.6803907705109502</v>
      </c>
      <c r="E1891" s="14">
        <v>24.062027500498463</v>
      </c>
      <c r="F1891" s="14">
        <v>94.517116530890846</v>
      </c>
      <c r="G1891" s="14">
        <v>188.52062933857385</v>
      </c>
      <c r="H1891" s="14">
        <v>228.12139536812882</v>
      </c>
      <c r="I1891" s="14">
        <v>228.6984460651197</v>
      </c>
      <c r="J1891" s="14">
        <v>229.11062513439944</v>
      </c>
    </row>
    <row r="1892" spans="1:10" ht="15.75" x14ac:dyDescent="0.5">
      <c r="A1892" s="13" t="s">
        <v>339</v>
      </c>
      <c r="B1892" s="13" t="s">
        <v>415</v>
      </c>
      <c r="C1892" s="13" t="s">
        <v>400</v>
      </c>
      <c r="D1892" s="14">
        <v>440.53124483255567</v>
      </c>
      <c r="E1892" s="14">
        <v>870.32761244331732</v>
      </c>
      <c r="F1892" s="14">
        <v>1351.883514733252</v>
      </c>
      <c r="G1892" s="14">
        <v>1425.3942194891724</v>
      </c>
      <c r="H1892" s="14">
        <v>1631.3311840309798</v>
      </c>
      <c r="I1892" s="14">
        <v>2295.0818454621462</v>
      </c>
      <c r="J1892" s="14">
        <v>3011.1710147227059</v>
      </c>
    </row>
    <row r="1893" spans="1:10" ht="15.75" x14ac:dyDescent="0.5">
      <c r="A1893" s="13" t="s">
        <v>339</v>
      </c>
      <c r="B1893" s="13" t="s">
        <v>416</v>
      </c>
      <c r="C1893" s="13" t="s">
        <v>400</v>
      </c>
      <c r="D1893" s="14" t="s">
        <v>250</v>
      </c>
      <c r="E1893" s="14">
        <v>54.174742594981012</v>
      </c>
      <c r="F1893" s="14">
        <v>66.675949052097479</v>
      </c>
      <c r="G1893" s="14">
        <v>76.801435170202126</v>
      </c>
      <c r="H1893" s="14">
        <v>77.990654991853688</v>
      </c>
      <c r="I1893" s="14">
        <v>82.683057309487623</v>
      </c>
      <c r="J1893" s="14">
        <v>94.727837483420942</v>
      </c>
    </row>
    <row r="1894" spans="1:10" ht="15.75" x14ac:dyDescent="0.5">
      <c r="A1894" s="13" t="s">
        <v>339</v>
      </c>
      <c r="B1894" s="13" t="s">
        <v>417</v>
      </c>
      <c r="C1894" s="13" t="s">
        <v>400</v>
      </c>
      <c r="D1894" s="14">
        <v>187.48709633408691</v>
      </c>
      <c r="E1894" s="14">
        <v>303.14360503127443</v>
      </c>
      <c r="F1894" s="14">
        <v>345.87234562786182</v>
      </c>
      <c r="G1894" s="14">
        <v>432.30969375929368</v>
      </c>
      <c r="H1894" s="14">
        <v>658.24886621233713</v>
      </c>
      <c r="I1894" s="14">
        <v>1751.8619015696349</v>
      </c>
      <c r="J1894" s="14">
        <v>2008.0981474366852</v>
      </c>
    </row>
    <row r="1895" spans="1:10" ht="15.75" x14ac:dyDescent="0.5">
      <c r="A1895" s="13" t="s">
        <v>339</v>
      </c>
      <c r="B1895" s="13" t="s">
        <v>418</v>
      </c>
      <c r="C1895" s="13" t="s">
        <v>400</v>
      </c>
      <c r="D1895" s="14">
        <v>3.1841751731019534</v>
      </c>
      <c r="E1895" s="14">
        <v>3.1841751731019534</v>
      </c>
      <c r="F1895" s="14">
        <v>3.1841751731019539</v>
      </c>
      <c r="G1895" s="14">
        <v>3.184175173101953</v>
      </c>
      <c r="H1895" s="14">
        <v>3.1841751731019534</v>
      </c>
      <c r="I1895" s="14">
        <v>3.1841751731019534</v>
      </c>
      <c r="J1895" s="14">
        <v>3.1841751731019534</v>
      </c>
    </row>
    <row r="1896" spans="1:10" ht="15.75" x14ac:dyDescent="0.5">
      <c r="A1896" s="13" t="s">
        <v>339</v>
      </c>
      <c r="B1896" s="13" t="s">
        <v>419</v>
      </c>
      <c r="C1896" s="13" t="s">
        <v>400</v>
      </c>
      <c r="D1896" s="14">
        <v>0.54465920264079504</v>
      </c>
      <c r="E1896" s="14">
        <v>9.0239838090182136</v>
      </c>
      <c r="F1896" s="14">
        <v>19.123258328158194</v>
      </c>
      <c r="G1896" s="14">
        <v>25.82822997240514</v>
      </c>
      <c r="H1896" s="14">
        <v>60.7115690007506</v>
      </c>
      <c r="I1896" s="14">
        <v>193.40352673623258</v>
      </c>
      <c r="J1896" s="14">
        <v>594.73063566338237</v>
      </c>
    </row>
    <row r="1897" spans="1:10" ht="15.75" x14ac:dyDescent="0.5">
      <c r="A1897" s="13" t="s">
        <v>339</v>
      </c>
      <c r="B1897" s="13" t="s">
        <v>420</v>
      </c>
      <c r="C1897" s="13" t="s">
        <v>400</v>
      </c>
      <c r="D1897" s="14">
        <v>-13.987252957808355</v>
      </c>
      <c r="E1897" s="14">
        <v>-14.026175143339444</v>
      </c>
      <c r="F1897" s="14">
        <v>-13.297154367641737</v>
      </c>
      <c r="G1897" s="14">
        <v>-11.555778555891967</v>
      </c>
      <c r="H1897" s="14">
        <v>-16.939258015767599</v>
      </c>
      <c r="I1897" s="14">
        <v>-18.125275839781075</v>
      </c>
      <c r="J1897" s="14">
        <v>-16.430188560826249</v>
      </c>
    </row>
    <row r="1898" spans="1:10" ht="15.75" x14ac:dyDescent="0.5">
      <c r="A1898" s="13" t="s">
        <v>340</v>
      </c>
      <c r="B1898" s="13" t="s">
        <v>399</v>
      </c>
      <c r="C1898" s="13" t="s">
        <v>400</v>
      </c>
      <c r="D1898" s="14">
        <v>7.2499064625597889</v>
      </c>
      <c r="E1898" s="14">
        <v>4.2389343065693544E-2</v>
      </c>
      <c r="F1898" s="14">
        <v>0.51246000000000103</v>
      </c>
      <c r="G1898" s="14">
        <v>1.0255763625146077</v>
      </c>
      <c r="H1898" s="14">
        <v>0.55726419972130781</v>
      </c>
      <c r="I1898" s="14">
        <v>1.790172262773727E-2</v>
      </c>
      <c r="J1898" s="14">
        <v>2.8089050494684944</v>
      </c>
    </row>
    <row r="1899" spans="1:10" ht="15.75" x14ac:dyDescent="0.5">
      <c r="A1899" s="13" t="s">
        <v>340</v>
      </c>
      <c r="B1899" s="13" t="s">
        <v>401</v>
      </c>
      <c r="C1899" s="13" t="s">
        <v>400</v>
      </c>
      <c r="D1899" s="14" t="s">
        <v>250</v>
      </c>
      <c r="E1899" s="14" t="s">
        <v>250</v>
      </c>
      <c r="F1899" s="14">
        <v>98.026704207356687</v>
      </c>
      <c r="G1899" s="14">
        <v>98.026704207356659</v>
      </c>
      <c r="H1899" s="14">
        <v>7.4794065790320836</v>
      </c>
      <c r="I1899" s="14">
        <v>5.3708137372205176</v>
      </c>
      <c r="J1899" s="14" t="s">
        <v>250</v>
      </c>
    </row>
    <row r="1900" spans="1:10" ht="15.75" x14ac:dyDescent="0.5">
      <c r="A1900" s="13" t="s">
        <v>340</v>
      </c>
      <c r="B1900" s="13" t="s">
        <v>402</v>
      </c>
      <c r="C1900" s="13" t="s">
        <v>400</v>
      </c>
      <c r="D1900" s="14">
        <v>1072.9916742877465</v>
      </c>
      <c r="E1900" s="14">
        <v>281.81147184106982</v>
      </c>
      <c r="F1900" s="14">
        <v>142.17148769019758</v>
      </c>
      <c r="G1900" s="14">
        <v>114.01536254725973</v>
      </c>
      <c r="H1900" s="14">
        <v>93.910475516149845</v>
      </c>
      <c r="I1900" s="14">
        <v>41.596085826881676</v>
      </c>
      <c r="J1900" s="14" t="s">
        <v>250</v>
      </c>
    </row>
    <row r="1901" spans="1:10" ht="15.75" x14ac:dyDescent="0.5">
      <c r="A1901" s="13" t="s">
        <v>340</v>
      </c>
      <c r="B1901" s="13" t="s">
        <v>403</v>
      </c>
      <c r="C1901" s="13" t="s">
        <v>400</v>
      </c>
      <c r="D1901" s="14" t="s">
        <v>250</v>
      </c>
      <c r="E1901" s="14" t="s">
        <v>250</v>
      </c>
      <c r="F1901" s="14">
        <v>94.014192612768511</v>
      </c>
      <c r="G1901" s="14">
        <v>94.014192612768483</v>
      </c>
      <c r="H1901" s="14">
        <v>19.000266487420497</v>
      </c>
      <c r="I1901" s="14">
        <v>19.000266487420497</v>
      </c>
      <c r="J1901" s="14" t="s">
        <v>250</v>
      </c>
    </row>
    <row r="1902" spans="1:10" ht="15.75" x14ac:dyDescent="0.5">
      <c r="A1902" s="13" t="s">
        <v>340</v>
      </c>
      <c r="B1902" s="13" t="s">
        <v>404</v>
      </c>
      <c r="C1902" s="13" t="s">
        <v>400</v>
      </c>
      <c r="D1902" s="14" t="s">
        <v>250</v>
      </c>
      <c r="E1902" s="14" t="s">
        <v>250</v>
      </c>
      <c r="F1902" s="14" t="s">
        <v>250</v>
      </c>
      <c r="G1902" s="14" t="s">
        <v>250</v>
      </c>
      <c r="H1902" s="14" t="s">
        <v>250</v>
      </c>
      <c r="I1902" s="14">
        <v>0.33069896914528524</v>
      </c>
      <c r="J1902" s="14">
        <v>31.00401387453682</v>
      </c>
    </row>
    <row r="1903" spans="1:10" ht="15.75" x14ac:dyDescent="0.5">
      <c r="A1903" s="13" t="s">
        <v>340</v>
      </c>
      <c r="B1903" s="13" t="s">
        <v>421</v>
      </c>
      <c r="C1903" s="13" t="s">
        <v>400</v>
      </c>
      <c r="D1903" s="14" t="s">
        <v>250</v>
      </c>
      <c r="E1903" s="14" t="s">
        <v>250</v>
      </c>
      <c r="F1903" s="14" t="s">
        <v>250</v>
      </c>
      <c r="G1903" s="14">
        <v>985.83048894889885</v>
      </c>
      <c r="H1903" s="14">
        <v>2607.3434133443402</v>
      </c>
      <c r="I1903" s="14">
        <v>2478.1845603480833</v>
      </c>
      <c r="J1903" s="14">
        <v>1870.9627565120827</v>
      </c>
    </row>
    <row r="1904" spans="1:10" ht="15.75" x14ac:dyDescent="0.5">
      <c r="A1904" s="13" t="s">
        <v>340</v>
      </c>
      <c r="B1904" s="13" t="s">
        <v>405</v>
      </c>
      <c r="C1904" s="13" t="s">
        <v>400</v>
      </c>
      <c r="D1904" s="14">
        <v>1259.3891290889949</v>
      </c>
      <c r="E1904" s="14">
        <v>1471.9991337672939</v>
      </c>
      <c r="F1904" s="14">
        <v>1481.0577280471753</v>
      </c>
      <c r="G1904" s="14">
        <v>1246.4512301736142</v>
      </c>
      <c r="H1904" s="14">
        <v>642.59412140031884</v>
      </c>
      <c r="I1904" s="14">
        <v>460.2000293507495</v>
      </c>
      <c r="J1904" s="14">
        <v>118.48763334881066</v>
      </c>
    </row>
    <row r="1905" spans="1:10" ht="15.75" x14ac:dyDescent="0.5">
      <c r="A1905" s="13" t="s">
        <v>340</v>
      </c>
      <c r="B1905" s="13" t="s">
        <v>406</v>
      </c>
      <c r="C1905" s="13" t="s">
        <v>400</v>
      </c>
      <c r="D1905" s="14">
        <v>23.479196814299332</v>
      </c>
      <c r="E1905" s="14">
        <v>31.573377845373667</v>
      </c>
      <c r="F1905" s="14">
        <v>46.623602728394225</v>
      </c>
      <c r="G1905" s="14">
        <v>53.026280766314429</v>
      </c>
      <c r="H1905" s="14">
        <v>62.214669074170978</v>
      </c>
      <c r="I1905" s="14">
        <v>80.697416784886357</v>
      </c>
      <c r="J1905" s="14">
        <v>110.78223792320613</v>
      </c>
    </row>
    <row r="1906" spans="1:10" ht="15.75" x14ac:dyDescent="0.5">
      <c r="A1906" s="13" t="s">
        <v>340</v>
      </c>
      <c r="B1906" s="13" t="s">
        <v>407</v>
      </c>
      <c r="C1906" s="13" t="s">
        <v>400</v>
      </c>
      <c r="D1906" s="14" t="s">
        <v>250</v>
      </c>
      <c r="E1906" s="14">
        <v>92.540432620366715</v>
      </c>
      <c r="F1906" s="14">
        <v>94.482290558046415</v>
      </c>
      <c r="G1906" s="14">
        <v>125.52744886417992</v>
      </c>
      <c r="H1906" s="14">
        <v>74.227568857140881</v>
      </c>
      <c r="I1906" s="14">
        <v>34.481237797094728</v>
      </c>
      <c r="J1906" s="14">
        <v>139.4566814970328</v>
      </c>
    </row>
    <row r="1907" spans="1:10" ht="15.75" x14ac:dyDescent="0.5">
      <c r="A1907" s="13" t="s">
        <v>340</v>
      </c>
      <c r="B1907" s="13" t="s">
        <v>408</v>
      </c>
      <c r="C1907" s="13" t="s">
        <v>400</v>
      </c>
      <c r="D1907" s="14">
        <v>46.892290321001227</v>
      </c>
      <c r="E1907" s="14">
        <v>30.400276431670424</v>
      </c>
      <c r="F1907" s="14">
        <v>23.24143921378921</v>
      </c>
      <c r="G1907" s="14">
        <v>32.081510476794982</v>
      </c>
      <c r="H1907" s="14">
        <v>21.961213358201775</v>
      </c>
      <c r="I1907" s="14">
        <v>14.389690541905837</v>
      </c>
      <c r="J1907" s="14">
        <v>44.82366963840839</v>
      </c>
    </row>
    <row r="1908" spans="1:10" ht="15.75" x14ac:dyDescent="0.5">
      <c r="A1908" s="13" t="s">
        <v>340</v>
      </c>
      <c r="B1908" s="13" t="s">
        <v>409</v>
      </c>
      <c r="C1908" s="13" t="s">
        <v>400</v>
      </c>
      <c r="D1908" s="14">
        <v>18.365704270000037</v>
      </c>
      <c r="E1908" s="14">
        <v>18.365704270000037</v>
      </c>
      <c r="F1908" s="14">
        <v>18.365704270000027</v>
      </c>
      <c r="G1908" s="14">
        <v>18.36570427000003</v>
      </c>
      <c r="H1908" s="14">
        <v>18.365704270000034</v>
      </c>
      <c r="I1908" s="14">
        <v>18.365704270000034</v>
      </c>
      <c r="J1908" s="14">
        <v>18.365704270000037</v>
      </c>
    </row>
    <row r="1909" spans="1:10" ht="15.75" x14ac:dyDescent="0.5">
      <c r="A1909" s="13" t="s">
        <v>340</v>
      </c>
      <c r="B1909" s="13" t="s">
        <v>410</v>
      </c>
      <c r="C1909" s="13" t="s">
        <v>400</v>
      </c>
      <c r="D1909" s="14">
        <v>245.79356253202207</v>
      </c>
      <c r="E1909" s="14">
        <v>245.16179816637131</v>
      </c>
      <c r="F1909" s="14">
        <v>245.96936970050947</v>
      </c>
      <c r="G1909" s="14">
        <v>245.99691493265991</v>
      </c>
      <c r="H1909" s="14">
        <v>246.16997594139113</v>
      </c>
      <c r="I1909" s="14">
        <v>245.88459957895157</v>
      </c>
      <c r="J1909" s="14">
        <v>246.10187708033808</v>
      </c>
    </row>
    <row r="1910" spans="1:10" ht="15.75" x14ac:dyDescent="0.5">
      <c r="A1910" s="13" t="s">
        <v>340</v>
      </c>
      <c r="B1910" s="13" t="s">
        <v>411</v>
      </c>
      <c r="C1910" s="13" t="s">
        <v>400</v>
      </c>
      <c r="D1910" s="14">
        <v>7.1394000000000144</v>
      </c>
      <c r="E1910" s="14">
        <v>3.5593489051094975</v>
      </c>
      <c r="F1910" s="14" t="s">
        <v>250</v>
      </c>
      <c r="G1910" s="14" t="s">
        <v>250</v>
      </c>
      <c r="H1910" s="14" t="s">
        <v>250</v>
      </c>
      <c r="I1910" s="14" t="s">
        <v>250</v>
      </c>
      <c r="J1910" s="14" t="s">
        <v>250</v>
      </c>
    </row>
    <row r="1911" spans="1:10" ht="15.75" x14ac:dyDescent="0.5">
      <c r="A1911" s="13" t="s">
        <v>340</v>
      </c>
      <c r="B1911" s="13" t="s">
        <v>412</v>
      </c>
      <c r="C1911" s="13" t="s">
        <v>400</v>
      </c>
      <c r="D1911" s="14">
        <v>760.72545968400152</v>
      </c>
      <c r="E1911" s="14">
        <v>745.04714558427759</v>
      </c>
      <c r="F1911" s="14">
        <v>594.54608749308204</v>
      </c>
      <c r="G1911" s="14">
        <v>648.31496888162508</v>
      </c>
      <c r="H1911" s="14">
        <v>596.99024594732157</v>
      </c>
      <c r="I1911" s="14">
        <v>354.35080081298804</v>
      </c>
      <c r="J1911" s="14">
        <v>659.30294985834018</v>
      </c>
    </row>
    <row r="1912" spans="1:10" ht="15.75" x14ac:dyDescent="0.5">
      <c r="A1912" s="13" t="s">
        <v>340</v>
      </c>
      <c r="B1912" s="13" t="s">
        <v>413</v>
      </c>
      <c r="C1912" s="13" t="s">
        <v>400</v>
      </c>
      <c r="D1912" s="14">
        <v>23.702927619886136</v>
      </c>
      <c r="E1912" s="14">
        <v>29.329357894625041</v>
      </c>
      <c r="F1912" s="14">
        <v>13.733299320606289</v>
      </c>
      <c r="G1912" s="14">
        <v>4.182037347841165</v>
      </c>
      <c r="H1912" s="14">
        <v>2.8087439139950661</v>
      </c>
      <c r="I1912" s="14">
        <v>0.23187431157314031</v>
      </c>
      <c r="J1912" s="14">
        <v>5.9597080291970833E-3</v>
      </c>
    </row>
    <row r="1913" spans="1:10" ht="15.75" x14ac:dyDescent="0.5">
      <c r="A1913" s="13" t="s">
        <v>340</v>
      </c>
      <c r="B1913" s="13" t="s">
        <v>414</v>
      </c>
      <c r="C1913" s="13" t="s">
        <v>400</v>
      </c>
      <c r="D1913" s="14">
        <v>0.6803907705109502</v>
      </c>
      <c r="E1913" s="14">
        <v>24.062027500498459</v>
      </c>
      <c r="F1913" s="14">
        <v>94.51797054519507</v>
      </c>
      <c r="G1913" s="14">
        <v>188.52277341087373</v>
      </c>
      <c r="H1913" s="14">
        <v>228.12324666134415</v>
      </c>
      <c r="I1913" s="14">
        <v>228.70030275456764</v>
      </c>
      <c r="J1913" s="14">
        <v>229.11248567829921</v>
      </c>
    </row>
    <row r="1914" spans="1:10" ht="15.75" x14ac:dyDescent="0.5">
      <c r="A1914" s="13" t="s">
        <v>340</v>
      </c>
      <c r="B1914" s="13" t="s">
        <v>415</v>
      </c>
      <c r="C1914" s="13" t="s">
        <v>400</v>
      </c>
      <c r="D1914" s="14">
        <v>440.53124483255556</v>
      </c>
      <c r="E1914" s="14">
        <v>870.3678391088863</v>
      </c>
      <c r="F1914" s="14">
        <v>1351.9901142844271</v>
      </c>
      <c r="G1914" s="14">
        <v>1424.8335538801887</v>
      </c>
      <c r="H1914" s="14">
        <v>1633.1441707695917</v>
      </c>
      <c r="I1914" s="14">
        <v>2293.3792179941606</v>
      </c>
      <c r="J1914" s="14">
        <v>2993.9847813762558</v>
      </c>
    </row>
    <row r="1915" spans="1:10" ht="15.75" x14ac:dyDescent="0.5">
      <c r="A1915" s="13" t="s">
        <v>340</v>
      </c>
      <c r="B1915" s="13" t="s">
        <v>416</v>
      </c>
      <c r="C1915" s="13" t="s">
        <v>400</v>
      </c>
      <c r="D1915" s="14" t="s">
        <v>250</v>
      </c>
      <c r="E1915" s="14">
        <v>54.174742594981019</v>
      </c>
      <c r="F1915" s="14">
        <v>66.675949052097479</v>
      </c>
      <c r="G1915" s="14">
        <v>76.801435170202112</v>
      </c>
      <c r="H1915" s="14">
        <v>77.990654991853745</v>
      </c>
      <c r="I1915" s="14">
        <v>82.683057309487651</v>
      </c>
      <c r="J1915" s="14">
        <v>94.727837483420942</v>
      </c>
    </row>
    <row r="1916" spans="1:10" ht="15.75" x14ac:dyDescent="0.5">
      <c r="A1916" s="13" t="s">
        <v>340</v>
      </c>
      <c r="B1916" s="13" t="s">
        <v>417</v>
      </c>
      <c r="C1916" s="13" t="s">
        <v>400</v>
      </c>
      <c r="D1916" s="14">
        <v>187.48709633408689</v>
      </c>
      <c r="E1916" s="14">
        <v>303.14360503127438</v>
      </c>
      <c r="F1916" s="14">
        <v>345.80861003627484</v>
      </c>
      <c r="G1916" s="14">
        <v>432.56940836246116</v>
      </c>
      <c r="H1916" s="14">
        <v>658.41720832967576</v>
      </c>
      <c r="I1916" s="14">
        <v>1718.5874608144061</v>
      </c>
      <c r="J1916" s="14">
        <v>1963.1000190900866</v>
      </c>
    </row>
    <row r="1917" spans="1:10" ht="15.75" x14ac:dyDescent="0.5">
      <c r="A1917" s="13" t="s">
        <v>340</v>
      </c>
      <c r="B1917" s="13" t="s">
        <v>418</v>
      </c>
      <c r="C1917" s="13" t="s">
        <v>400</v>
      </c>
      <c r="D1917" s="14">
        <v>3.1841751731019539</v>
      </c>
      <c r="E1917" s="14">
        <v>3.1841751731019534</v>
      </c>
      <c r="F1917" s="14">
        <v>3.1841751731019534</v>
      </c>
      <c r="G1917" s="14">
        <v>3.1841751731019534</v>
      </c>
      <c r="H1917" s="14">
        <v>3.1841751731019534</v>
      </c>
      <c r="I1917" s="14">
        <v>3.184175173101953</v>
      </c>
      <c r="J1917" s="14">
        <v>3.1841751731019534</v>
      </c>
    </row>
    <row r="1918" spans="1:10" ht="15.75" x14ac:dyDescent="0.5">
      <c r="A1918" s="13" t="s">
        <v>340</v>
      </c>
      <c r="B1918" s="13" t="s">
        <v>419</v>
      </c>
      <c r="C1918" s="13" t="s">
        <v>400</v>
      </c>
      <c r="D1918" s="14">
        <v>0.54465920264079504</v>
      </c>
      <c r="E1918" s="14">
        <v>9.0317695681991097</v>
      </c>
      <c r="F1918" s="14">
        <v>19.137823703559182</v>
      </c>
      <c r="G1918" s="14">
        <v>25.419617459154637</v>
      </c>
      <c r="H1918" s="14">
        <v>57.525215365209547</v>
      </c>
      <c r="I1918" s="14">
        <v>184.10543566947226</v>
      </c>
      <c r="J1918" s="14">
        <v>527.24640014892577</v>
      </c>
    </row>
    <row r="1919" spans="1:10" ht="15.75" x14ac:dyDescent="0.5">
      <c r="A1919" s="13" t="s">
        <v>340</v>
      </c>
      <c r="B1919" s="13" t="s">
        <v>420</v>
      </c>
      <c r="C1919" s="13" t="s">
        <v>400</v>
      </c>
      <c r="D1919" s="14">
        <v>-13.98725295780832</v>
      </c>
      <c r="E1919" s="14">
        <v>-14.033157573684484</v>
      </c>
      <c r="F1919" s="14">
        <v>-13.318929644793844</v>
      </c>
      <c r="G1919" s="14">
        <v>-11.54948163505512</v>
      </c>
      <c r="H1919" s="14">
        <v>-16.915782663003043</v>
      </c>
      <c r="I1919" s="14">
        <v>-18.45255375170327</v>
      </c>
      <c r="J1919" s="14">
        <v>-16.171572824571303</v>
      </c>
    </row>
    <row r="1920" spans="1:10" ht="15.75" x14ac:dyDescent="0.5">
      <c r="A1920" s="13" t="s">
        <v>341</v>
      </c>
      <c r="B1920" s="13" t="s">
        <v>399</v>
      </c>
      <c r="C1920" s="13" t="s">
        <v>400</v>
      </c>
      <c r="D1920" s="14">
        <v>7.2499064625597898</v>
      </c>
      <c r="E1920" s="14">
        <v>4.2389343065693544E-2</v>
      </c>
      <c r="F1920" s="14">
        <v>0.51246000000000103</v>
      </c>
      <c r="G1920" s="14">
        <v>0.7828800000000018</v>
      </c>
      <c r="H1920" s="14">
        <v>0.59305722789350301</v>
      </c>
      <c r="I1920" s="14">
        <v>1.3680000000000036E-2</v>
      </c>
      <c r="J1920" s="14">
        <v>0.38717597080292043</v>
      </c>
    </row>
    <row r="1921" spans="1:10" ht="15.75" x14ac:dyDescent="0.5">
      <c r="A1921" s="13" t="s">
        <v>341</v>
      </c>
      <c r="B1921" s="13" t="s">
        <v>401</v>
      </c>
      <c r="C1921" s="13" t="s">
        <v>400</v>
      </c>
      <c r="D1921" s="14" t="s">
        <v>250</v>
      </c>
      <c r="E1921" s="14" t="s">
        <v>250</v>
      </c>
      <c r="F1921" s="14">
        <v>99.76800289025411</v>
      </c>
      <c r="G1921" s="14">
        <v>99.76800289025411</v>
      </c>
      <c r="H1921" s="14">
        <v>11.052511686215922</v>
      </c>
      <c r="I1921" s="14">
        <v>8.4530672488950671</v>
      </c>
      <c r="J1921" s="14" t="s">
        <v>250</v>
      </c>
    </row>
    <row r="1922" spans="1:10" ht="15.75" x14ac:dyDescent="0.5">
      <c r="A1922" s="13" t="s">
        <v>341</v>
      </c>
      <c r="B1922" s="13" t="s">
        <v>402</v>
      </c>
      <c r="C1922" s="13" t="s">
        <v>400</v>
      </c>
      <c r="D1922" s="14">
        <v>1072.9916742877463</v>
      </c>
      <c r="E1922" s="14">
        <v>279.0991361713335</v>
      </c>
      <c r="F1922" s="14">
        <v>141.28055336040904</v>
      </c>
      <c r="G1922" s="14">
        <v>108.67684874135735</v>
      </c>
      <c r="H1922" s="14">
        <v>94.369782008705641</v>
      </c>
      <c r="I1922" s="14">
        <v>38.319799479663232</v>
      </c>
      <c r="J1922" s="14" t="s">
        <v>250</v>
      </c>
    </row>
    <row r="1923" spans="1:10" ht="15.75" x14ac:dyDescent="0.5">
      <c r="A1923" s="13" t="s">
        <v>341</v>
      </c>
      <c r="B1923" s="13" t="s">
        <v>403</v>
      </c>
      <c r="C1923" s="13" t="s">
        <v>400</v>
      </c>
      <c r="D1923" s="14" t="s">
        <v>250</v>
      </c>
      <c r="E1923" s="14" t="s">
        <v>250</v>
      </c>
      <c r="F1923" s="14">
        <v>111.69128230256487</v>
      </c>
      <c r="G1923" s="14">
        <v>111.69128230256491</v>
      </c>
      <c r="H1923" s="14">
        <v>22.650411500156341</v>
      </c>
      <c r="I1923" s="14">
        <v>22.650411500156345</v>
      </c>
      <c r="J1923" s="14" t="s">
        <v>250</v>
      </c>
    </row>
    <row r="1924" spans="1:10" ht="15.75" x14ac:dyDescent="0.5">
      <c r="A1924" s="13" t="s">
        <v>341</v>
      </c>
      <c r="B1924" s="13" t="s">
        <v>404</v>
      </c>
      <c r="C1924" s="13" t="s">
        <v>400</v>
      </c>
      <c r="D1924" s="14" t="s">
        <v>250</v>
      </c>
      <c r="E1924" s="14" t="s">
        <v>250</v>
      </c>
      <c r="F1924" s="14" t="s">
        <v>250</v>
      </c>
      <c r="G1924" s="14" t="s">
        <v>250</v>
      </c>
      <c r="H1924" s="14" t="s">
        <v>250</v>
      </c>
      <c r="I1924" s="14">
        <v>0.33069896914528524</v>
      </c>
      <c r="J1924" s="14">
        <v>9.4488074722552344</v>
      </c>
    </row>
    <row r="1925" spans="1:10" ht="15.75" x14ac:dyDescent="0.5">
      <c r="A1925" s="13" t="s">
        <v>341</v>
      </c>
      <c r="B1925" s="13" t="s">
        <v>421</v>
      </c>
      <c r="C1925" s="13" t="s">
        <v>400</v>
      </c>
      <c r="D1925" s="14" t="s">
        <v>250</v>
      </c>
      <c r="E1925" s="14" t="s">
        <v>250</v>
      </c>
      <c r="F1925" s="14" t="s">
        <v>250</v>
      </c>
      <c r="G1925" s="14">
        <v>950.66936684397638</v>
      </c>
      <c r="H1925" s="14">
        <v>2525.7091751084781</v>
      </c>
      <c r="I1925" s="14">
        <v>2442.0258927705445</v>
      </c>
      <c r="J1925" s="14">
        <v>474.01364276338552</v>
      </c>
    </row>
    <row r="1926" spans="1:10" ht="15.75" x14ac:dyDescent="0.5">
      <c r="A1926" s="13" t="s">
        <v>341</v>
      </c>
      <c r="B1926" s="13" t="s">
        <v>405</v>
      </c>
      <c r="C1926" s="13" t="s">
        <v>400</v>
      </c>
      <c r="D1926" s="14">
        <v>1259.3891290889935</v>
      </c>
      <c r="E1926" s="14">
        <v>1472.221279360534</v>
      </c>
      <c r="F1926" s="14">
        <v>1474.0925657995188</v>
      </c>
      <c r="G1926" s="14">
        <v>1263.2236616029109</v>
      </c>
      <c r="H1926" s="14">
        <v>664.92569825671444</v>
      </c>
      <c r="I1926" s="14">
        <v>462.55059559334592</v>
      </c>
      <c r="J1926" s="14">
        <v>178.61752228084356</v>
      </c>
    </row>
    <row r="1927" spans="1:10" ht="15.75" x14ac:dyDescent="0.5">
      <c r="A1927" s="13" t="s">
        <v>341</v>
      </c>
      <c r="B1927" s="13" t="s">
        <v>406</v>
      </c>
      <c r="C1927" s="13" t="s">
        <v>400</v>
      </c>
      <c r="D1927" s="14">
        <v>23.479196814299335</v>
      </c>
      <c r="E1927" s="14">
        <v>30.223732448062627</v>
      </c>
      <c r="F1927" s="14">
        <v>46.11018383347912</v>
      </c>
      <c r="G1927" s="14">
        <v>52.814540877280095</v>
      </c>
      <c r="H1927" s="14">
        <v>62.028169254319927</v>
      </c>
      <c r="I1927" s="14">
        <v>85.153423249990169</v>
      </c>
      <c r="J1927" s="14">
        <v>95.489398213135146</v>
      </c>
    </row>
    <row r="1928" spans="1:10" ht="15.75" x14ac:dyDescent="0.5">
      <c r="A1928" s="13" t="s">
        <v>341</v>
      </c>
      <c r="B1928" s="13" t="s">
        <v>407</v>
      </c>
      <c r="C1928" s="13" t="s">
        <v>400</v>
      </c>
      <c r="D1928" s="14" t="s">
        <v>250</v>
      </c>
      <c r="E1928" s="14">
        <v>94.37802238600014</v>
      </c>
      <c r="F1928" s="14">
        <v>86.619969026775578</v>
      </c>
      <c r="G1928" s="14">
        <v>129.22058656855401</v>
      </c>
      <c r="H1928" s="14">
        <v>72.568346527199267</v>
      </c>
      <c r="I1928" s="14">
        <v>18.460493385382218</v>
      </c>
      <c r="J1928" s="14">
        <v>43.942140081684848</v>
      </c>
    </row>
    <row r="1929" spans="1:10" ht="15.75" x14ac:dyDescent="0.5">
      <c r="A1929" s="13" t="s">
        <v>341</v>
      </c>
      <c r="B1929" s="13" t="s">
        <v>408</v>
      </c>
      <c r="C1929" s="13" t="s">
        <v>400</v>
      </c>
      <c r="D1929" s="14">
        <v>46.892290321001212</v>
      </c>
      <c r="E1929" s="14">
        <v>30.221849807947773</v>
      </c>
      <c r="F1929" s="14">
        <v>22.936979458698335</v>
      </c>
      <c r="G1929" s="14">
        <v>33.28716465239323</v>
      </c>
      <c r="H1929" s="14">
        <v>23.419244607496999</v>
      </c>
      <c r="I1929" s="14">
        <v>15.420771032342149</v>
      </c>
      <c r="J1929" s="14">
        <v>37.64204685932414</v>
      </c>
    </row>
    <row r="1930" spans="1:10" ht="15.75" x14ac:dyDescent="0.5">
      <c r="A1930" s="13" t="s">
        <v>341</v>
      </c>
      <c r="B1930" s="13" t="s">
        <v>409</v>
      </c>
      <c r="C1930" s="13" t="s">
        <v>400</v>
      </c>
      <c r="D1930" s="14">
        <v>18.365704270000037</v>
      </c>
      <c r="E1930" s="14">
        <v>18.365704270000034</v>
      </c>
      <c r="F1930" s="14">
        <v>18.365704270000034</v>
      </c>
      <c r="G1930" s="14">
        <v>18.365704270000034</v>
      </c>
      <c r="H1930" s="14">
        <v>18.365704270000034</v>
      </c>
      <c r="I1930" s="14">
        <v>18.36570427000003</v>
      </c>
      <c r="J1930" s="14">
        <v>18.365704270000034</v>
      </c>
    </row>
    <row r="1931" spans="1:10" ht="15.75" x14ac:dyDescent="0.5">
      <c r="A1931" s="13" t="s">
        <v>341</v>
      </c>
      <c r="B1931" s="13" t="s">
        <v>410</v>
      </c>
      <c r="C1931" s="13" t="s">
        <v>400</v>
      </c>
      <c r="D1931" s="14">
        <v>245.79356253202209</v>
      </c>
      <c r="E1931" s="14">
        <v>245.15488924408777</v>
      </c>
      <c r="F1931" s="14">
        <v>245.97163400353816</v>
      </c>
      <c r="G1931" s="14">
        <v>245.99388031640646</v>
      </c>
      <c r="H1931" s="14">
        <v>246.14927309760847</v>
      </c>
      <c r="I1931" s="14">
        <v>245.93028200224552</v>
      </c>
      <c r="J1931" s="14">
        <v>245.84429137578195</v>
      </c>
    </row>
    <row r="1932" spans="1:10" ht="15.75" x14ac:dyDescent="0.5">
      <c r="A1932" s="13" t="s">
        <v>341</v>
      </c>
      <c r="B1932" s="13" t="s">
        <v>411</v>
      </c>
      <c r="C1932" s="13" t="s">
        <v>400</v>
      </c>
      <c r="D1932" s="14">
        <v>7.139400000000018</v>
      </c>
      <c r="E1932" s="14">
        <v>3.559348905109498</v>
      </c>
      <c r="F1932" s="14" t="s">
        <v>250</v>
      </c>
      <c r="G1932" s="14" t="s">
        <v>250</v>
      </c>
      <c r="H1932" s="14" t="s">
        <v>250</v>
      </c>
      <c r="I1932" s="14" t="s">
        <v>250</v>
      </c>
      <c r="J1932" s="14" t="s">
        <v>250</v>
      </c>
    </row>
    <row r="1933" spans="1:10" ht="15.75" x14ac:dyDescent="0.5">
      <c r="A1933" s="13" t="s">
        <v>341</v>
      </c>
      <c r="B1933" s="13" t="s">
        <v>412</v>
      </c>
      <c r="C1933" s="13" t="s">
        <v>400</v>
      </c>
      <c r="D1933" s="14">
        <v>760.72545968400186</v>
      </c>
      <c r="E1933" s="14">
        <v>747.148768679677</v>
      </c>
      <c r="F1933" s="14">
        <v>594.27426941343572</v>
      </c>
      <c r="G1933" s="14">
        <v>655.72477365719533</v>
      </c>
      <c r="H1933" s="14">
        <v>630.1220432083494</v>
      </c>
      <c r="I1933" s="14">
        <v>668.68700757134025</v>
      </c>
      <c r="J1933" s="14">
        <v>2954.8866145280172</v>
      </c>
    </row>
    <row r="1934" spans="1:10" ht="15.75" x14ac:dyDescent="0.5">
      <c r="A1934" s="13" t="s">
        <v>341</v>
      </c>
      <c r="B1934" s="13" t="s">
        <v>413</v>
      </c>
      <c r="C1934" s="13" t="s">
        <v>400</v>
      </c>
      <c r="D1934" s="14">
        <v>23.702927619886133</v>
      </c>
      <c r="E1934" s="14">
        <v>28.970108038295393</v>
      </c>
      <c r="F1934" s="14">
        <v>13.009505332561998</v>
      </c>
      <c r="G1934" s="14">
        <v>4.0805062796110914</v>
      </c>
      <c r="H1934" s="14">
        <v>2.309784053066779</v>
      </c>
      <c r="I1934" s="14">
        <v>0.31789131985677616</v>
      </c>
      <c r="J1934" s="14" t="s">
        <v>250</v>
      </c>
    </row>
    <row r="1935" spans="1:10" ht="15.75" x14ac:dyDescent="0.5">
      <c r="A1935" s="13" t="s">
        <v>341</v>
      </c>
      <c r="B1935" s="13" t="s">
        <v>414</v>
      </c>
      <c r="C1935" s="13" t="s">
        <v>400</v>
      </c>
      <c r="D1935" s="14">
        <v>0.6803907705109502</v>
      </c>
      <c r="E1935" s="14">
        <v>24.062027500498459</v>
      </c>
      <c r="F1935" s="14">
        <v>94.535893223902931</v>
      </c>
      <c r="G1935" s="14">
        <v>188.57147971397515</v>
      </c>
      <c r="H1935" s="14">
        <v>228.1721361856485</v>
      </c>
      <c r="I1935" s="14">
        <v>228.74933478425191</v>
      </c>
      <c r="J1935" s="14">
        <v>229.16161949754067</v>
      </c>
    </row>
    <row r="1936" spans="1:10" ht="15.75" x14ac:dyDescent="0.5">
      <c r="A1936" s="13" t="s">
        <v>341</v>
      </c>
      <c r="B1936" s="13" t="s">
        <v>415</v>
      </c>
      <c r="C1936" s="13" t="s">
        <v>400</v>
      </c>
      <c r="D1936" s="14">
        <v>440.5312448325555</v>
      </c>
      <c r="E1936" s="14">
        <v>870.25819264049346</v>
      </c>
      <c r="F1936" s="14">
        <v>1347.7961124224485</v>
      </c>
      <c r="G1936" s="14">
        <v>1412.436003955864</v>
      </c>
      <c r="H1936" s="14">
        <v>1675.0002315071131</v>
      </c>
      <c r="I1936" s="14">
        <v>2197.0211994162928</v>
      </c>
      <c r="J1936" s="14">
        <v>2498.1122922127061</v>
      </c>
    </row>
    <row r="1937" spans="1:10" ht="15.75" x14ac:dyDescent="0.5">
      <c r="A1937" s="13" t="s">
        <v>341</v>
      </c>
      <c r="B1937" s="13" t="s">
        <v>416</v>
      </c>
      <c r="C1937" s="13" t="s">
        <v>400</v>
      </c>
      <c r="D1937" s="14" t="s">
        <v>250</v>
      </c>
      <c r="E1937" s="14">
        <v>54.174742594980984</v>
      </c>
      <c r="F1937" s="14">
        <v>66.675949052097479</v>
      </c>
      <c r="G1937" s="14">
        <v>76.801435170202154</v>
      </c>
      <c r="H1937" s="14">
        <v>77.990654991853717</v>
      </c>
      <c r="I1937" s="14">
        <v>82.68305730948768</v>
      </c>
      <c r="J1937" s="14">
        <v>94.727837483420899</v>
      </c>
    </row>
    <row r="1938" spans="1:10" ht="15.75" x14ac:dyDescent="0.5">
      <c r="A1938" s="13" t="s">
        <v>341</v>
      </c>
      <c r="B1938" s="13" t="s">
        <v>417</v>
      </c>
      <c r="C1938" s="13" t="s">
        <v>400</v>
      </c>
      <c r="D1938" s="14">
        <v>187.48709633408697</v>
      </c>
      <c r="E1938" s="14">
        <v>303.14360739175862</v>
      </c>
      <c r="F1938" s="14">
        <v>345.90048869171761</v>
      </c>
      <c r="G1938" s="14">
        <v>429.04890684005909</v>
      </c>
      <c r="H1938" s="14">
        <v>626.44106155568772</v>
      </c>
      <c r="I1938" s="14">
        <v>1417.9743151231928</v>
      </c>
      <c r="J1938" s="14">
        <v>1595.982510518854</v>
      </c>
    </row>
    <row r="1939" spans="1:10" ht="15.75" x14ac:dyDescent="0.5">
      <c r="A1939" s="13" t="s">
        <v>341</v>
      </c>
      <c r="B1939" s="13" t="s">
        <v>418</v>
      </c>
      <c r="C1939" s="13" t="s">
        <v>400</v>
      </c>
      <c r="D1939" s="14">
        <v>3.184175173101953</v>
      </c>
      <c r="E1939" s="14">
        <v>3.1841751731019539</v>
      </c>
      <c r="F1939" s="14">
        <v>3.1841751731019534</v>
      </c>
      <c r="G1939" s="14">
        <v>3.1841751731019539</v>
      </c>
      <c r="H1939" s="14">
        <v>3.1841751731019534</v>
      </c>
      <c r="I1939" s="14">
        <v>3.1841751731019534</v>
      </c>
      <c r="J1939" s="14">
        <v>3.184175173101953</v>
      </c>
    </row>
    <row r="1940" spans="1:10" ht="15.75" x14ac:dyDescent="0.5">
      <c r="A1940" s="13" t="s">
        <v>341</v>
      </c>
      <c r="B1940" s="13" t="s">
        <v>419</v>
      </c>
      <c r="C1940" s="13" t="s">
        <v>400</v>
      </c>
      <c r="D1940" s="14">
        <v>0.54465920264079504</v>
      </c>
      <c r="E1940" s="14">
        <v>8.9759319693357007</v>
      </c>
      <c r="F1940" s="14">
        <v>19.040830611153091</v>
      </c>
      <c r="G1940" s="14">
        <v>26.097835244441097</v>
      </c>
      <c r="H1940" s="14">
        <v>53.189829732045794</v>
      </c>
      <c r="I1940" s="14">
        <v>125.31744123275257</v>
      </c>
      <c r="J1940" s="14">
        <v>173.46220176644954</v>
      </c>
    </row>
    <row r="1941" spans="1:10" ht="15.75" x14ac:dyDescent="0.5">
      <c r="A1941" s="13" t="s">
        <v>341</v>
      </c>
      <c r="B1941" s="13" t="s">
        <v>420</v>
      </c>
      <c r="C1941" s="13" t="s">
        <v>400</v>
      </c>
      <c r="D1941" s="14">
        <v>-13.987252957808371</v>
      </c>
      <c r="E1941" s="14">
        <v>-13.953296697898708</v>
      </c>
      <c r="F1941" s="14">
        <v>-13.332033392620321</v>
      </c>
      <c r="G1941" s="14">
        <v>-11.851929195345955</v>
      </c>
      <c r="H1941" s="14">
        <v>-16.376465109786206</v>
      </c>
      <c r="I1941" s="14">
        <v>-18.78277969048893</v>
      </c>
      <c r="J1941" s="14">
        <v>-17.662257030928032</v>
      </c>
    </row>
    <row r="1942" spans="1:10" ht="15.75" x14ac:dyDescent="0.5">
      <c r="A1942" s="13" t="s">
        <v>342</v>
      </c>
      <c r="B1942" s="13" t="s">
        <v>399</v>
      </c>
      <c r="C1942" s="13" t="s">
        <v>400</v>
      </c>
      <c r="D1942" s="14">
        <v>7.2499064625597889</v>
      </c>
      <c r="E1942" s="14">
        <v>4.2389343065693544E-2</v>
      </c>
      <c r="F1942" s="14">
        <v>0.51246000000000114</v>
      </c>
      <c r="G1942" s="14">
        <v>1.0704840000000022</v>
      </c>
      <c r="H1942" s="14">
        <v>2.6403852638865786</v>
      </c>
      <c r="I1942" s="14">
        <v>1.5411518884687443</v>
      </c>
      <c r="J1942" s="14">
        <v>0.85995361272258031</v>
      </c>
    </row>
    <row r="1943" spans="1:10" ht="15.75" x14ac:dyDescent="0.5">
      <c r="A1943" s="13" t="s">
        <v>342</v>
      </c>
      <c r="B1943" s="13" t="s">
        <v>401</v>
      </c>
      <c r="C1943" s="13" t="s">
        <v>400</v>
      </c>
      <c r="D1943" s="14" t="s">
        <v>250</v>
      </c>
      <c r="E1943" s="14" t="s">
        <v>250</v>
      </c>
      <c r="F1943" s="14">
        <v>85.251111731331719</v>
      </c>
      <c r="G1943" s="14">
        <v>85.251111731331747</v>
      </c>
      <c r="H1943" s="14">
        <v>16.68838273016183</v>
      </c>
      <c r="I1943" s="14">
        <v>14.412738264811985</v>
      </c>
      <c r="J1943" s="14" t="s">
        <v>250</v>
      </c>
    </row>
    <row r="1944" spans="1:10" ht="15.75" x14ac:dyDescent="0.5">
      <c r="A1944" s="13" t="s">
        <v>342</v>
      </c>
      <c r="B1944" s="13" t="s">
        <v>402</v>
      </c>
      <c r="C1944" s="13" t="s">
        <v>400</v>
      </c>
      <c r="D1944" s="14">
        <v>1072.9916742877465</v>
      </c>
      <c r="E1944" s="14">
        <v>280.73713623891393</v>
      </c>
      <c r="F1944" s="14">
        <v>147.60943200423449</v>
      </c>
      <c r="G1944" s="14">
        <v>140.3304692403874</v>
      </c>
      <c r="H1944" s="14">
        <v>135.74811512904037</v>
      </c>
      <c r="I1944" s="14">
        <v>119.45178317697113</v>
      </c>
      <c r="J1944" s="14">
        <v>84.757161628737236</v>
      </c>
    </row>
    <row r="1945" spans="1:10" ht="15.75" x14ac:dyDescent="0.5">
      <c r="A1945" s="13" t="s">
        <v>342</v>
      </c>
      <c r="B1945" s="13" t="s">
        <v>403</v>
      </c>
      <c r="C1945" s="13" t="s">
        <v>400</v>
      </c>
      <c r="D1945" s="14" t="s">
        <v>250</v>
      </c>
      <c r="E1945" s="14" t="s">
        <v>250</v>
      </c>
      <c r="F1945" s="14">
        <v>50.800099524108383</v>
      </c>
      <c r="G1945" s="14">
        <v>50.800099524108376</v>
      </c>
      <c r="H1945" s="14">
        <v>10.302736086741527</v>
      </c>
      <c r="I1945" s="14">
        <v>10.302736086741525</v>
      </c>
      <c r="J1945" s="14" t="s">
        <v>250</v>
      </c>
    </row>
    <row r="1946" spans="1:10" ht="15.75" x14ac:dyDescent="0.5">
      <c r="A1946" s="13" t="s">
        <v>342</v>
      </c>
      <c r="B1946" s="13" t="s">
        <v>404</v>
      </c>
      <c r="C1946" s="13" t="s">
        <v>400</v>
      </c>
      <c r="D1946" s="14" t="s">
        <v>250</v>
      </c>
      <c r="E1946" s="14" t="s">
        <v>250</v>
      </c>
      <c r="F1946" s="14" t="s">
        <v>250</v>
      </c>
      <c r="G1946" s="14" t="s">
        <v>250</v>
      </c>
      <c r="H1946" s="14" t="s">
        <v>250</v>
      </c>
      <c r="I1946" s="14">
        <v>0.33069896914528535</v>
      </c>
      <c r="J1946" s="14">
        <v>0.33069896914528535</v>
      </c>
    </row>
    <row r="1947" spans="1:10" ht="15.75" x14ac:dyDescent="0.5">
      <c r="A1947" s="13" t="s">
        <v>342</v>
      </c>
      <c r="B1947" s="13" t="s">
        <v>405</v>
      </c>
      <c r="C1947" s="13" t="s">
        <v>400</v>
      </c>
      <c r="D1947" s="14">
        <v>1259.3891290889949</v>
      </c>
      <c r="E1947" s="14">
        <v>1481.2909372039348</v>
      </c>
      <c r="F1947" s="14">
        <v>1675.9351466968783</v>
      </c>
      <c r="G1947" s="14">
        <v>2371.1408950450655</v>
      </c>
      <c r="H1947" s="14">
        <v>3316.4210023733935</v>
      </c>
      <c r="I1947" s="14">
        <v>3976.4499305951072</v>
      </c>
      <c r="J1947" s="14">
        <v>4364.07207512477</v>
      </c>
    </row>
    <row r="1948" spans="1:10" ht="15.75" x14ac:dyDescent="0.5">
      <c r="A1948" s="13" t="s">
        <v>342</v>
      </c>
      <c r="B1948" s="13" t="s">
        <v>406</v>
      </c>
      <c r="C1948" s="13" t="s">
        <v>400</v>
      </c>
      <c r="D1948" s="14">
        <v>23.479196814299332</v>
      </c>
      <c r="E1948" s="14">
        <v>29.800519288711712</v>
      </c>
      <c r="F1948" s="14">
        <v>42.835217209196863</v>
      </c>
      <c r="G1948" s="14">
        <v>43.409596217755492</v>
      </c>
      <c r="H1948" s="14">
        <v>43.957105897691214</v>
      </c>
      <c r="I1948" s="14">
        <v>45.076283898083133</v>
      </c>
      <c r="J1948" s="14">
        <v>44.109415452812499</v>
      </c>
    </row>
    <row r="1949" spans="1:10" ht="15.75" x14ac:dyDescent="0.5">
      <c r="A1949" s="13" t="s">
        <v>342</v>
      </c>
      <c r="B1949" s="13" t="s">
        <v>407</v>
      </c>
      <c r="C1949" s="13" t="s">
        <v>400</v>
      </c>
      <c r="D1949" s="14" t="s">
        <v>250</v>
      </c>
      <c r="E1949" s="14">
        <v>97.957863075928927</v>
      </c>
      <c r="F1949" s="14">
        <v>49.805939933108085</v>
      </c>
      <c r="G1949" s="14">
        <v>116.73347922192599</v>
      </c>
      <c r="H1949" s="14">
        <v>131.26795513685471</v>
      </c>
      <c r="I1949" s="14">
        <v>153.81751984568277</v>
      </c>
      <c r="J1949" s="14">
        <v>119.29215244308391</v>
      </c>
    </row>
    <row r="1950" spans="1:10" ht="15.75" x14ac:dyDescent="0.5">
      <c r="A1950" s="13" t="s">
        <v>342</v>
      </c>
      <c r="B1950" s="13" t="s">
        <v>408</v>
      </c>
      <c r="C1950" s="13" t="s">
        <v>400</v>
      </c>
      <c r="D1950" s="14">
        <v>46.892290321001227</v>
      </c>
      <c r="E1950" s="14">
        <v>30.103942145696692</v>
      </c>
      <c r="F1950" s="14">
        <v>22.897828295103462</v>
      </c>
      <c r="G1950" s="14">
        <v>27.291611246739439</v>
      </c>
      <c r="H1950" s="14">
        <v>28.881016325408485</v>
      </c>
      <c r="I1950" s="14">
        <v>28.651049529632935</v>
      </c>
      <c r="J1950" s="14">
        <v>29.827533021897867</v>
      </c>
    </row>
    <row r="1951" spans="1:10" ht="15.75" x14ac:dyDescent="0.5">
      <c r="A1951" s="13" t="s">
        <v>342</v>
      </c>
      <c r="B1951" s="13" t="s">
        <v>409</v>
      </c>
      <c r="C1951" s="13" t="s">
        <v>400</v>
      </c>
      <c r="D1951" s="14">
        <v>18.365704270000037</v>
      </c>
      <c r="E1951" s="14">
        <v>18.365704270000037</v>
      </c>
      <c r="F1951" s="14">
        <v>18.36570427000003</v>
      </c>
      <c r="G1951" s="14">
        <v>18.36570427000003</v>
      </c>
      <c r="H1951" s="14">
        <v>18.365704270000034</v>
      </c>
      <c r="I1951" s="14">
        <v>18.365704270000034</v>
      </c>
      <c r="J1951" s="14">
        <v>18.36570427000003</v>
      </c>
    </row>
    <row r="1952" spans="1:10" ht="15.75" x14ac:dyDescent="0.5">
      <c r="A1952" s="13" t="s">
        <v>342</v>
      </c>
      <c r="B1952" s="13" t="s">
        <v>410</v>
      </c>
      <c r="C1952" s="13" t="s">
        <v>400</v>
      </c>
      <c r="D1952" s="14">
        <v>245.79356253202212</v>
      </c>
      <c r="E1952" s="14">
        <v>244.54580977048283</v>
      </c>
      <c r="F1952" s="14">
        <v>245.69807360727978</v>
      </c>
      <c r="G1952" s="14">
        <v>245.97804577087402</v>
      </c>
      <c r="H1952" s="14">
        <v>246.16997594139102</v>
      </c>
      <c r="I1952" s="14">
        <v>246.16997594139107</v>
      </c>
      <c r="J1952" s="14">
        <v>246.16997594139102</v>
      </c>
    </row>
    <row r="1953" spans="1:10" ht="15.75" x14ac:dyDescent="0.5">
      <c r="A1953" s="13" t="s">
        <v>342</v>
      </c>
      <c r="B1953" s="13" t="s">
        <v>411</v>
      </c>
      <c r="C1953" s="13" t="s">
        <v>400</v>
      </c>
      <c r="D1953" s="14">
        <v>7.1394000000000153</v>
      </c>
      <c r="E1953" s="14">
        <v>3.559348905109498</v>
      </c>
      <c r="F1953" s="14" t="s">
        <v>250</v>
      </c>
      <c r="G1953" s="14" t="s">
        <v>250</v>
      </c>
      <c r="H1953" s="14" t="s">
        <v>250</v>
      </c>
      <c r="I1953" s="14" t="s">
        <v>250</v>
      </c>
      <c r="J1953" s="14" t="s">
        <v>250</v>
      </c>
    </row>
    <row r="1954" spans="1:10" ht="15.75" x14ac:dyDescent="0.5">
      <c r="A1954" s="13" t="s">
        <v>342</v>
      </c>
      <c r="B1954" s="13" t="s">
        <v>412</v>
      </c>
      <c r="C1954" s="13" t="s">
        <v>400</v>
      </c>
      <c r="D1954" s="14">
        <v>760.72545968400175</v>
      </c>
      <c r="E1954" s="14">
        <v>744.46022249974533</v>
      </c>
      <c r="F1954" s="14">
        <v>534.54738393531034</v>
      </c>
      <c r="G1954" s="14">
        <v>591.7945918001401</v>
      </c>
      <c r="H1954" s="14">
        <v>604.62427506894107</v>
      </c>
      <c r="I1954" s="14">
        <v>604.62427506894107</v>
      </c>
      <c r="J1954" s="14">
        <v>591.9575215007643</v>
      </c>
    </row>
    <row r="1955" spans="1:10" ht="15.75" x14ac:dyDescent="0.5">
      <c r="A1955" s="13" t="s">
        <v>342</v>
      </c>
      <c r="B1955" s="13" t="s">
        <v>413</v>
      </c>
      <c r="C1955" s="13" t="s">
        <v>400</v>
      </c>
      <c r="D1955" s="14">
        <v>23.702927619886136</v>
      </c>
      <c r="E1955" s="14">
        <v>28.064138532180678</v>
      </c>
      <c r="F1955" s="14">
        <v>11.582010031196234</v>
      </c>
      <c r="G1955" s="14">
        <v>4.5530354372642332</v>
      </c>
      <c r="H1955" s="14">
        <v>2.454103243415263</v>
      </c>
      <c r="I1955" s="14">
        <v>1.8496240966992412</v>
      </c>
      <c r="J1955" s="14">
        <v>1.6352323099819239</v>
      </c>
    </row>
    <row r="1956" spans="1:10" ht="15.75" x14ac:dyDescent="0.5">
      <c r="A1956" s="13" t="s">
        <v>342</v>
      </c>
      <c r="B1956" s="13" t="s">
        <v>414</v>
      </c>
      <c r="C1956" s="13" t="s">
        <v>400</v>
      </c>
      <c r="D1956" s="14">
        <v>0.6803907705109502</v>
      </c>
      <c r="E1956" s="14">
        <v>24.086226536243011</v>
      </c>
      <c r="F1956" s="14">
        <v>94.44839893777386</v>
      </c>
      <c r="G1956" s="14">
        <v>188.25087618423183</v>
      </c>
      <c r="H1956" s="14">
        <v>228.01406023549583</v>
      </c>
      <c r="I1956" s="14">
        <v>228.59079806722403</v>
      </c>
      <c r="J1956" s="14">
        <v>229.00275366131606</v>
      </c>
    </row>
    <row r="1957" spans="1:10" ht="15.75" x14ac:dyDescent="0.5">
      <c r="A1957" s="13" t="s">
        <v>342</v>
      </c>
      <c r="B1957" s="13" t="s">
        <v>415</v>
      </c>
      <c r="C1957" s="13" t="s">
        <v>400</v>
      </c>
      <c r="D1957" s="14">
        <v>440.53124483255556</v>
      </c>
      <c r="E1957" s="14">
        <v>864.39425631419044</v>
      </c>
      <c r="F1957" s="14">
        <v>1326.0028675568051</v>
      </c>
      <c r="G1957" s="14">
        <v>1406.5624749195977</v>
      </c>
      <c r="H1957" s="14">
        <v>1508.6943898040968</v>
      </c>
      <c r="I1957" s="14">
        <v>1581.4849008679023</v>
      </c>
      <c r="J1957" s="14">
        <v>1657.9314320974572</v>
      </c>
    </row>
    <row r="1958" spans="1:10" ht="15.75" x14ac:dyDescent="0.5">
      <c r="A1958" s="13" t="s">
        <v>342</v>
      </c>
      <c r="B1958" s="13" t="s">
        <v>416</v>
      </c>
      <c r="C1958" s="13" t="s">
        <v>400</v>
      </c>
      <c r="D1958" s="14" t="s">
        <v>250</v>
      </c>
      <c r="E1958" s="14">
        <v>54.174742594981005</v>
      </c>
      <c r="F1958" s="14">
        <v>66.675949052097465</v>
      </c>
      <c r="G1958" s="14">
        <v>76.801435170202168</v>
      </c>
      <c r="H1958" s="14">
        <v>77.990654991853745</v>
      </c>
      <c r="I1958" s="14">
        <v>82.68305730948768</v>
      </c>
      <c r="J1958" s="14">
        <v>94.727837483420956</v>
      </c>
    </row>
    <row r="1959" spans="1:10" ht="15.75" x14ac:dyDescent="0.5">
      <c r="A1959" s="13" t="s">
        <v>342</v>
      </c>
      <c r="B1959" s="13" t="s">
        <v>417</v>
      </c>
      <c r="C1959" s="13" t="s">
        <v>400</v>
      </c>
      <c r="D1959" s="14">
        <v>187.48709633408697</v>
      </c>
      <c r="E1959" s="14">
        <v>300.43250294510034</v>
      </c>
      <c r="F1959" s="14">
        <v>344.35155938662865</v>
      </c>
      <c r="G1959" s="14">
        <v>412.17837396002113</v>
      </c>
      <c r="H1959" s="14">
        <v>575.40913006849985</v>
      </c>
      <c r="I1959" s="14">
        <v>764.18619547510377</v>
      </c>
      <c r="J1959" s="14">
        <v>1011.1948151093961</v>
      </c>
    </row>
    <row r="1960" spans="1:10" ht="15.75" x14ac:dyDescent="0.5">
      <c r="A1960" s="13" t="s">
        <v>342</v>
      </c>
      <c r="B1960" s="13" t="s">
        <v>418</v>
      </c>
      <c r="C1960" s="13" t="s">
        <v>400</v>
      </c>
      <c r="D1960" s="14">
        <v>3.184175173101953</v>
      </c>
      <c r="E1960" s="14">
        <v>3.1841751731019539</v>
      </c>
      <c r="F1960" s="14">
        <v>3.1841751731019539</v>
      </c>
      <c r="G1960" s="14">
        <v>3.1841751731019534</v>
      </c>
      <c r="H1960" s="14">
        <v>3.1841751731019539</v>
      </c>
      <c r="I1960" s="14">
        <v>3.1841751731019534</v>
      </c>
      <c r="J1960" s="14">
        <v>3.1841751731019534</v>
      </c>
    </row>
    <row r="1961" spans="1:10" ht="15.75" x14ac:dyDescent="0.5">
      <c r="A1961" s="13" t="s">
        <v>342</v>
      </c>
      <c r="B1961" s="13" t="s">
        <v>419</v>
      </c>
      <c r="C1961" s="13" t="s">
        <v>400</v>
      </c>
      <c r="D1961" s="14">
        <v>0.54465920264079504</v>
      </c>
      <c r="E1961" s="14">
        <v>8.9451995277987333</v>
      </c>
      <c r="F1961" s="14">
        <v>16.730899340236387</v>
      </c>
      <c r="G1961" s="14">
        <v>17.679949865634928</v>
      </c>
      <c r="H1961" s="14">
        <v>21.798252891682335</v>
      </c>
      <c r="I1961" s="14">
        <v>27.623733826580803</v>
      </c>
      <c r="J1961" s="14">
        <v>51.537968809462924</v>
      </c>
    </row>
    <row r="1962" spans="1:10" ht="15.75" x14ac:dyDescent="0.5">
      <c r="A1962" s="13" t="s">
        <v>342</v>
      </c>
      <c r="B1962" s="13" t="s">
        <v>420</v>
      </c>
      <c r="C1962" s="13" t="s">
        <v>400</v>
      </c>
      <c r="D1962" s="14">
        <v>-13.987252957808387</v>
      </c>
      <c r="E1962" s="14">
        <v>-13.657381382780844</v>
      </c>
      <c r="F1962" s="14">
        <v>-12.613045416473863</v>
      </c>
      <c r="G1962" s="14">
        <v>-11.429815356871398</v>
      </c>
      <c r="H1962" s="14">
        <v>-14.244637072614081</v>
      </c>
      <c r="I1962" s="14">
        <v>-17.024448301757687</v>
      </c>
      <c r="J1962" s="14">
        <v>-19.266433514985401</v>
      </c>
    </row>
    <row r="1963" spans="1:10" ht="15.75" x14ac:dyDescent="0.5">
      <c r="A1963" s="13" t="s">
        <v>343</v>
      </c>
      <c r="B1963" s="13" t="s">
        <v>399</v>
      </c>
      <c r="C1963" s="13" t="s">
        <v>400</v>
      </c>
      <c r="D1963" s="14">
        <v>7.2499064625597898</v>
      </c>
      <c r="E1963" s="14">
        <v>4.2389343065693544E-2</v>
      </c>
      <c r="F1963" s="14">
        <v>0.51246000000000114</v>
      </c>
      <c r="G1963" s="14">
        <v>1.0704840000000022</v>
      </c>
      <c r="H1963" s="14">
        <v>2.6415983997965951</v>
      </c>
      <c r="I1963" s="14">
        <v>1.3275631995995005</v>
      </c>
      <c r="J1963" s="14">
        <v>0.88421418122484774</v>
      </c>
    </row>
    <row r="1964" spans="1:10" ht="15.75" x14ac:dyDescent="0.5">
      <c r="A1964" s="13" t="s">
        <v>343</v>
      </c>
      <c r="B1964" s="13" t="s">
        <v>401</v>
      </c>
      <c r="C1964" s="13" t="s">
        <v>400</v>
      </c>
      <c r="D1964" s="14" t="s">
        <v>250</v>
      </c>
      <c r="E1964" s="14" t="s">
        <v>250</v>
      </c>
      <c r="F1964" s="14">
        <v>85.251111731331747</v>
      </c>
      <c r="G1964" s="14">
        <v>85.251111731331747</v>
      </c>
      <c r="H1964" s="14">
        <v>16.609538402291072</v>
      </c>
      <c r="I1964" s="14">
        <v>14.410605849658779</v>
      </c>
      <c r="J1964" s="14" t="s">
        <v>250</v>
      </c>
    </row>
    <row r="1965" spans="1:10" ht="15.75" x14ac:dyDescent="0.5">
      <c r="A1965" s="13" t="s">
        <v>343</v>
      </c>
      <c r="B1965" s="13" t="s">
        <v>402</v>
      </c>
      <c r="C1965" s="13" t="s">
        <v>400</v>
      </c>
      <c r="D1965" s="14">
        <v>1072.9916742877458</v>
      </c>
      <c r="E1965" s="14">
        <v>280.6211627315252</v>
      </c>
      <c r="F1965" s="14">
        <v>147.59797818847716</v>
      </c>
      <c r="G1965" s="14">
        <v>140.27604334970144</v>
      </c>
      <c r="H1965" s="14">
        <v>135.68604972373149</v>
      </c>
      <c r="I1965" s="14">
        <v>119.40893287021858</v>
      </c>
      <c r="J1965" s="14">
        <v>84.694316984089056</v>
      </c>
    </row>
    <row r="1966" spans="1:10" ht="15.75" x14ac:dyDescent="0.5">
      <c r="A1966" s="13" t="s">
        <v>343</v>
      </c>
      <c r="B1966" s="13" t="s">
        <v>403</v>
      </c>
      <c r="C1966" s="13" t="s">
        <v>400</v>
      </c>
      <c r="D1966" s="14" t="s">
        <v>250</v>
      </c>
      <c r="E1966" s="14" t="s">
        <v>250</v>
      </c>
      <c r="F1966" s="14">
        <v>50.896577295199954</v>
      </c>
      <c r="G1966" s="14">
        <v>50.896577295199911</v>
      </c>
      <c r="H1966" s="14">
        <v>10.322669510520772</v>
      </c>
      <c r="I1966" s="14">
        <v>10.322669510520772</v>
      </c>
      <c r="J1966" s="14" t="s">
        <v>250</v>
      </c>
    </row>
    <row r="1967" spans="1:10" ht="15.75" x14ac:dyDescent="0.5">
      <c r="A1967" s="13" t="s">
        <v>343</v>
      </c>
      <c r="B1967" s="13" t="s">
        <v>404</v>
      </c>
      <c r="C1967" s="13" t="s">
        <v>400</v>
      </c>
      <c r="D1967" s="14" t="s">
        <v>250</v>
      </c>
      <c r="E1967" s="14" t="s">
        <v>250</v>
      </c>
      <c r="F1967" s="14" t="s">
        <v>250</v>
      </c>
      <c r="G1967" s="14" t="s">
        <v>250</v>
      </c>
      <c r="H1967" s="14" t="s">
        <v>250</v>
      </c>
      <c r="I1967" s="14">
        <v>0.3306989691452854</v>
      </c>
      <c r="J1967" s="14">
        <v>0.3306989691452854</v>
      </c>
    </row>
    <row r="1968" spans="1:10" ht="15.75" x14ac:dyDescent="0.5">
      <c r="A1968" s="13" t="s">
        <v>343</v>
      </c>
      <c r="B1968" s="13" t="s">
        <v>405</v>
      </c>
      <c r="C1968" s="13" t="s">
        <v>400</v>
      </c>
      <c r="D1968" s="14">
        <v>1259.3891290889944</v>
      </c>
      <c r="E1968" s="14">
        <v>1481.4829079105637</v>
      </c>
      <c r="F1968" s="14">
        <v>1675.7957345684424</v>
      </c>
      <c r="G1968" s="14">
        <v>2372.5724381636937</v>
      </c>
      <c r="H1968" s="14">
        <v>3318.4960986663673</v>
      </c>
      <c r="I1968" s="14">
        <v>3968.8337045932044</v>
      </c>
      <c r="J1968" s="14">
        <v>4330.0386058290151</v>
      </c>
    </row>
    <row r="1969" spans="1:10" ht="15.75" x14ac:dyDescent="0.5">
      <c r="A1969" s="13" t="s">
        <v>343</v>
      </c>
      <c r="B1969" s="13" t="s">
        <v>406</v>
      </c>
      <c r="C1969" s="13" t="s">
        <v>400</v>
      </c>
      <c r="D1969" s="14">
        <v>23.479196814299335</v>
      </c>
      <c r="E1969" s="14">
        <v>29.804594331525138</v>
      </c>
      <c r="F1969" s="14">
        <v>42.821400824796619</v>
      </c>
      <c r="G1969" s="14">
        <v>43.406663949112193</v>
      </c>
      <c r="H1969" s="14">
        <v>43.787926750958057</v>
      </c>
      <c r="I1969" s="14">
        <v>44.866611299921004</v>
      </c>
      <c r="J1969" s="14">
        <v>44.076931928824465</v>
      </c>
    </row>
    <row r="1970" spans="1:10" ht="15.75" x14ac:dyDescent="0.5">
      <c r="A1970" s="13" t="s">
        <v>343</v>
      </c>
      <c r="B1970" s="13" t="s">
        <v>407</v>
      </c>
      <c r="C1970" s="13" t="s">
        <v>400</v>
      </c>
      <c r="D1970" s="14" t="s">
        <v>250</v>
      </c>
      <c r="E1970" s="14">
        <v>97.923725819212578</v>
      </c>
      <c r="F1970" s="14">
        <v>49.660766119564272</v>
      </c>
      <c r="G1970" s="14">
        <v>115.7988540983076</v>
      </c>
      <c r="H1970" s="14">
        <v>131.28110106913505</v>
      </c>
      <c r="I1970" s="14">
        <v>148.92502866528275</v>
      </c>
      <c r="J1970" s="14">
        <v>102.70602839820695</v>
      </c>
    </row>
    <row r="1971" spans="1:10" ht="15.75" x14ac:dyDescent="0.5">
      <c r="A1971" s="13" t="s">
        <v>343</v>
      </c>
      <c r="B1971" s="13" t="s">
        <v>408</v>
      </c>
      <c r="C1971" s="13" t="s">
        <v>400</v>
      </c>
      <c r="D1971" s="14">
        <v>46.892290321001219</v>
      </c>
      <c r="E1971" s="14">
        <v>30.103017430257985</v>
      </c>
      <c r="F1971" s="14">
        <v>22.880012101944029</v>
      </c>
      <c r="G1971" s="14">
        <v>27.296930617651185</v>
      </c>
      <c r="H1971" s="14">
        <v>28.888554165733908</v>
      </c>
      <c r="I1971" s="14">
        <v>29.123038849438494</v>
      </c>
      <c r="J1971" s="14">
        <v>29.861269576642396</v>
      </c>
    </row>
    <row r="1972" spans="1:10" ht="15.75" x14ac:dyDescent="0.5">
      <c r="A1972" s="13" t="s">
        <v>343</v>
      </c>
      <c r="B1972" s="13" t="s">
        <v>409</v>
      </c>
      <c r="C1972" s="13" t="s">
        <v>400</v>
      </c>
      <c r="D1972" s="14">
        <v>18.365704270000034</v>
      </c>
      <c r="E1972" s="14">
        <v>18.36570427000003</v>
      </c>
      <c r="F1972" s="14">
        <v>18.36570427000003</v>
      </c>
      <c r="G1972" s="14">
        <v>18.365704270000034</v>
      </c>
      <c r="H1972" s="14">
        <v>18.36570427000003</v>
      </c>
      <c r="I1972" s="14">
        <v>18.365704270000037</v>
      </c>
      <c r="J1972" s="14">
        <v>18.365704270000037</v>
      </c>
    </row>
    <row r="1973" spans="1:10" ht="15.75" x14ac:dyDescent="0.5">
      <c r="A1973" s="13" t="s">
        <v>343</v>
      </c>
      <c r="B1973" s="13" t="s">
        <v>410</v>
      </c>
      <c r="C1973" s="13" t="s">
        <v>400</v>
      </c>
      <c r="D1973" s="14">
        <v>245.79356253202215</v>
      </c>
      <c r="E1973" s="14">
        <v>244.54507397493191</v>
      </c>
      <c r="F1973" s="14">
        <v>245.70711421854364</v>
      </c>
      <c r="G1973" s="14">
        <v>245.97485087395026</v>
      </c>
      <c r="H1973" s="14">
        <v>246.16997594139099</v>
      </c>
      <c r="I1973" s="14">
        <v>246.16997594139099</v>
      </c>
      <c r="J1973" s="14">
        <v>246.1699759413911</v>
      </c>
    </row>
    <row r="1974" spans="1:10" ht="15.75" x14ac:dyDescent="0.5">
      <c r="A1974" s="13" t="s">
        <v>343</v>
      </c>
      <c r="B1974" s="13" t="s">
        <v>411</v>
      </c>
      <c r="C1974" s="13" t="s">
        <v>400</v>
      </c>
      <c r="D1974" s="14">
        <v>7.1394000000000188</v>
      </c>
      <c r="E1974" s="14">
        <v>3.5593489051094975</v>
      </c>
      <c r="F1974" s="14" t="s">
        <v>250</v>
      </c>
      <c r="G1974" s="14" t="s">
        <v>250</v>
      </c>
      <c r="H1974" s="14" t="s">
        <v>250</v>
      </c>
      <c r="I1974" s="14" t="s">
        <v>250</v>
      </c>
      <c r="J1974" s="14" t="s">
        <v>250</v>
      </c>
    </row>
    <row r="1975" spans="1:10" ht="15.75" x14ac:dyDescent="0.5">
      <c r="A1975" s="13" t="s">
        <v>343</v>
      </c>
      <c r="B1975" s="13" t="s">
        <v>412</v>
      </c>
      <c r="C1975" s="13" t="s">
        <v>400</v>
      </c>
      <c r="D1975" s="14">
        <v>760.72545968400163</v>
      </c>
      <c r="E1975" s="14">
        <v>744.47613409470443</v>
      </c>
      <c r="F1975" s="14">
        <v>534.95296932893575</v>
      </c>
      <c r="G1975" s="14">
        <v>592.23788352643737</v>
      </c>
      <c r="H1975" s="14">
        <v>611.61777058435382</v>
      </c>
      <c r="I1975" s="14">
        <v>639.19613930118862</v>
      </c>
      <c r="J1975" s="14">
        <v>675.43836071680835</v>
      </c>
    </row>
    <row r="1976" spans="1:10" ht="15.75" x14ac:dyDescent="0.5">
      <c r="A1976" s="13" t="s">
        <v>343</v>
      </c>
      <c r="B1976" s="13" t="s">
        <v>413</v>
      </c>
      <c r="C1976" s="13" t="s">
        <v>400</v>
      </c>
      <c r="D1976" s="14">
        <v>23.702927619886133</v>
      </c>
      <c r="E1976" s="14">
        <v>28.024301397321114</v>
      </c>
      <c r="F1976" s="14">
        <v>11.594152479024249</v>
      </c>
      <c r="G1976" s="14">
        <v>4.54836549872884</v>
      </c>
      <c r="H1976" s="14">
        <v>2.4402200300687356</v>
      </c>
      <c r="I1976" s="14">
        <v>1.8855520053162838</v>
      </c>
      <c r="J1976" s="14">
        <v>1.6357693986175963</v>
      </c>
    </row>
    <row r="1977" spans="1:10" ht="15.75" x14ac:dyDescent="0.5">
      <c r="A1977" s="13" t="s">
        <v>343</v>
      </c>
      <c r="B1977" s="13" t="s">
        <v>414</v>
      </c>
      <c r="C1977" s="13" t="s">
        <v>400</v>
      </c>
      <c r="D1977" s="14">
        <v>0.68039077051095009</v>
      </c>
      <c r="E1977" s="14">
        <v>24.086226536243011</v>
      </c>
      <c r="F1977" s="14">
        <v>94.448153120148859</v>
      </c>
      <c r="G1977" s="14">
        <v>188.25100247761702</v>
      </c>
      <c r="H1977" s="14">
        <v>228.01553878776909</v>
      </c>
      <c r="I1977" s="14">
        <v>228.59228092924778</v>
      </c>
      <c r="J1977" s="14">
        <v>229.0042396017331</v>
      </c>
    </row>
    <row r="1978" spans="1:10" ht="15.75" x14ac:dyDescent="0.5">
      <c r="A1978" s="13" t="s">
        <v>343</v>
      </c>
      <c r="B1978" s="13" t="s">
        <v>415</v>
      </c>
      <c r="C1978" s="13" t="s">
        <v>400</v>
      </c>
      <c r="D1978" s="14">
        <v>440.53124483255573</v>
      </c>
      <c r="E1978" s="14">
        <v>864.39425631419067</v>
      </c>
      <c r="F1978" s="14">
        <v>1326.0760655123495</v>
      </c>
      <c r="G1978" s="14">
        <v>1403.1531250755656</v>
      </c>
      <c r="H1978" s="14">
        <v>1496.8069551119927</v>
      </c>
      <c r="I1978" s="14">
        <v>1560.4711111087522</v>
      </c>
      <c r="J1978" s="14">
        <v>1625.9405643122441</v>
      </c>
    </row>
    <row r="1979" spans="1:10" ht="15.75" x14ac:dyDescent="0.5">
      <c r="A1979" s="13" t="s">
        <v>343</v>
      </c>
      <c r="B1979" s="13" t="s">
        <v>416</v>
      </c>
      <c r="C1979" s="13" t="s">
        <v>400</v>
      </c>
      <c r="D1979" s="14" t="s">
        <v>250</v>
      </c>
      <c r="E1979" s="14">
        <v>54.174742594981012</v>
      </c>
      <c r="F1979" s="14">
        <v>66.675949052097494</v>
      </c>
      <c r="G1979" s="14">
        <v>76.801435170202112</v>
      </c>
      <c r="H1979" s="14">
        <v>77.990654991853702</v>
      </c>
      <c r="I1979" s="14">
        <v>82.68305730948768</v>
      </c>
      <c r="J1979" s="14">
        <v>94.727837483420913</v>
      </c>
    </row>
    <row r="1980" spans="1:10" ht="15.75" x14ac:dyDescent="0.5">
      <c r="A1980" s="13" t="s">
        <v>343</v>
      </c>
      <c r="B1980" s="13" t="s">
        <v>417</v>
      </c>
      <c r="C1980" s="13" t="s">
        <v>400</v>
      </c>
      <c r="D1980" s="14">
        <v>187.48709633408697</v>
      </c>
      <c r="E1980" s="14">
        <v>300.43273883485375</v>
      </c>
      <c r="F1980" s="14">
        <v>344.34178049587382</v>
      </c>
      <c r="G1980" s="14">
        <v>414.50655136752846</v>
      </c>
      <c r="H1980" s="14">
        <v>577.78846574150907</v>
      </c>
      <c r="I1980" s="14">
        <v>756.97541623167876</v>
      </c>
      <c r="J1980" s="14">
        <v>989.58830341224552</v>
      </c>
    </row>
    <row r="1981" spans="1:10" ht="15.75" x14ac:dyDescent="0.5">
      <c r="A1981" s="13" t="s">
        <v>343</v>
      </c>
      <c r="B1981" s="13" t="s">
        <v>418</v>
      </c>
      <c r="C1981" s="13" t="s">
        <v>400</v>
      </c>
      <c r="D1981" s="14">
        <v>3.1841751731019525</v>
      </c>
      <c r="E1981" s="14">
        <v>3.1841751731019534</v>
      </c>
      <c r="F1981" s="14">
        <v>3.1841751731019539</v>
      </c>
      <c r="G1981" s="14">
        <v>3.1841751731019534</v>
      </c>
      <c r="H1981" s="14">
        <v>3.1841751731019534</v>
      </c>
      <c r="I1981" s="14">
        <v>3.184175173101953</v>
      </c>
      <c r="J1981" s="14">
        <v>3.1841751731019534</v>
      </c>
    </row>
    <row r="1982" spans="1:10" ht="15.75" x14ac:dyDescent="0.5">
      <c r="A1982" s="13" t="s">
        <v>343</v>
      </c>
      <c r="B1982" s="13" t="s">
        <v>419</v>
      </c>
      <c r="C1982" s="13" t="s">
        <v>400</v>
      </c>
      <c r="D1982" s="14">
        <v>0.54465920264079504</v>
      </c>
      <c r="E1982" s="14">
        <v>8.9376774203737224</v>
      </c>
      <c r="F1982" s="14">
        <v>16.727276889871263</v>
      </c>
      <c r="G1982" s="14">
        <v>17.656201095008669</v>
      </c>
      <c r="H1982" s="14">
        <v>21.660639386681382</v>
      </c>
      <c r="I1982" s="14">
        <v>27.551599438278537</v>
      </c>
      <c r="J1982" s="14">
        <v>50.19942491175221</v>
      </c>
    </row>
    <row r="1983" spans="1:10" ht="15.75" x14ac:dyDescent="0.5">
      <c r="A1983" s="13" t="s">
        <v>343</v>
      </c>
      <c r="B1983" s="13" t="s">
        <v>420</v>
      </c>
      <c r="C1983" s="13" t="s">
        <v>400</v>
      </c>
      <c r="D1983" s="14">
        <v>-13.987252957808487</v>
      </c>
      <c r="E1983" s="14">
        <v>-13.655067468022299</v>
      </c>
      <c r="F1983" s="14">
        <v>-12.607500407783663</v>
      </c>
      <c r="G1983" s="14">
        <v>-11.352875148154659</v>
      </c>
      <c r="H1983" s="14">
        <v>-14.251950684455579</v>
      </c>
      <c r="I1983" s="14">
        <v>-17.047139292809344</v>
      </c>
      <c r="J1983" s="14">
        <v>-19.253663293088742</v>
      </c>
    </row>
    <row r="1984" spans="1:10" ht="15.75" x14ac:dyDescent="0.5">
      <c r="A1984" s="13" t="s">
        <v>344</v>
      </c>
      <c r="B1984" s="13" t="s">
        <v>399</v>
      </c>
      <c r="C1984" s="13" t="s">
        <v>400</v>
      </c>
      <c r="D1984" s="14">
        <v>7.2499064625597898</v>
      </c>
      <c r="E1984" s="14">
        <v>0.29730534306569406</v>
      </c>
      <c r="F1984" s="14">
        <v>0.51246000000000103</v>
      </c>
      <c r="G1984" s="14">
        <v>1.7718840000000036</v>
      </c>
      <c r="H1984" s="14">
        <v>1.8352150072992752</v>
      </c>
      <c r="I1984" s="14">
        <v>0.70369051094890667</v>
      </c>
      <c r="J1984" s="14">
        <v>4.8292947711767113E-2</v>
      </c>
    </row>
    <row r="1985" spans="1:10" ht="15.75" x14ac:dyDescent="0.5">
      <c r="A1985" s="13" t="s">
        <v>344</v>
      </c>
      <c r="B1985" s="13" t="s">
        <v>401</v>
      </c>
      <c r="C1985" s="13" t="s">
        <v>400</v>
      </c>
      <c r="D1985" s="14" t="s">
        <v>250</v>
      </c>
      <c r="E1985" s="14" t="s">
        <v>250</v>
      </c>
      <c r="F1985" s="14">
        <v>85.046323997063624</v>
      </c>
      <c r="G1985" s="14">
        <v>85.046323997063595</v>
      </c>
      <c r="H1985" s="14">
        <v>16.185167217995627</v>
      </c>
      <c r="I1985" s="14">
        <v>14.439866289590482</v>
      </c>
      <c r="J1985" s="14" t="s">
        <v>250</v>
      </c>
    </row>
    <row r="1986" spans="1:10" ht="15.75" x14ac:dyDescent="0.5">
      <c r="A1986" s="13" t="s">
        <v>344</v>
      </c>
      <c r="B1986" s="13" t="s">
        <v>402</v>
      </c>
      <c r="C1986" s="13" t="s">
        <v>400</v>
      </c>
      <c r="D1986" s="14">
        <v>1072.991674287746</v>
      </c>
      <c r="E1986" s="14">
        <v>279.13785361616306</v>
      </c>
      <c r="F1986" s="14">
        <v>147.62134335953868</v>
      </c>
      <c r="G1986" s="14">
        <v>140.34432456719841</v>
      </c>
      <c r="H1986" s="14">
        <v>137.60567329668123</v>
      </c>
      <c r="I1986" s="14">
        <v>116.23808503878131</v>
      </c>
      <c r="J1986" s="14">
        <v>96.103306938051773</v>
      </c>
    </row>
    <row r="1987" spans="1:10" ht="15.75" x14ac:dyDescent="0.5">
      <c r="A1987" s="13" t="s">
        <v>344</v>
      </c>
      <c r="B1987" s="13" t="s">
        <v>403</v>
      </c>
      <c r="C1987" s="13" t="s">
        <v>400</v>
      </c>
      <c r="D1987" s="14" t="s">
        <v>250</v>
      </c>
      <c r="E1987" s="14" t="s">
        <v>250</v>
      </c>
      <c r="F1987" s="14">
        <v>49.475158072993189</v>
      </c>
      <c r="G1987" s="14">
        <v>49.475158072993231</v>
      </c>
      <c r="H1987" s="14">
        <v>10.028987853040043</v>
      </c>
      <c r="I1987" s="14">
        <v>10.028987853040043</v>
      </c>
      <c r="J1987" s="14" t="s">
        <v>250</v>
      </c>
    </row>
    <row r="1988" spans="1:10" ht="15.75" x14ac:dyDescent="0.5">
      <c r="A1988" s="13" t="s">
        <v>344</v>
      </c>
      <c r="B1988" s="13" t="s">
        <v>404</v>
      </c>
      <c r="C1988" s="13" t="s">
        <v>400</v>
      </c>
      <c r="D1988" s="14" t="s">
        <v>250</v>
      </c>
      <c r="E1988" s="14" t="s">
        <v>250</v>
      </c>
      <c r="F1988" s="14" t="s">
        <v>250</v>
      </c>
      <c r="G1988" s="14" t="s">
        <v>250</v>
      </c>
      <c r="H1988" s="14" t="s">
        <v>250</v>
      </c>
      <c r="I1988" s="14">
        <v>0.33069896914528535</v>
      </c>
      <c r="J1988" s="14">
        <v>0.33069896914528535</v>
      </c>
    </row>
    <row r="1989" spans="1:10" ht="15.75" x14ac:dyDescent="0.5">
      <c r="A1989" s="13" t="s">
        <v>344</v>
      </c>
      <c r="B1989" s="13" t="s">
        <v>405</v>
      </c>
      <c r="C1989" s="13" t="s">
        <v>400</v>
      </c>
      <c r="D1989" s="14">
        <v>1259.3891290889942</v>
      </c>
      <c r="E1989" s="14">
        <v>1473.9260564714434</v>
      </c>
      <c r="F1989" s="14">
        <v>1653.9940713792214</v>
      </c>
      <c r="G1989" s="14">
        <v>2348.785301513185</v>
      </c>
      <c r="H1989" s="14">
        <v>3277.1354544620258</v>
      </c>
      <c r="I1989" s="14">
        <v>3878.8449614444798</v>
      </c>
      <c r="J1989" s="14">
        <v>4204.8673395430451</v>
      </c>
    </row>
    <row r="1990" spans="1:10" ht="15.75" x14ac:dyDescent="0.5">
      <c r="A1990" s="13" t="s">
        <v>344</v>
      </c>
      <c r="B1990" s="13" t="s">
        <v>406</v>
      </c>
      <c r="C1990" s="13" t="s">
        <v>400</v>
      </c>
      <c r="D1990" s="14">
        <v>23.479196814299332</v>
      </c>
      <c r="E1990" s="14">
        <v>29.671205010500529</v>
      </c>
      <c r="F1990" s="14">
        <v>42.904233878869441</v>
      </c>
      <c r="G1990" s="14">
        <v>43.234081079247581</v>
      </c>
      <c r="H1990" s="14">
        <v>44.287264305889529</v>
      </c>
      <c r="I1990" s="14">
        <v>45.547154130936278</v>
      </c>
      <c r="J1990" s="14">
        <v>45.579881313062643</v>
      </c>
    </row>
    <row r="1991" spans="1:10" ht="15.75" x14ac:dyDescent="0.5">
      <c r="A1991" s="13" t="s">
        <v>344</v>
      </c>
      <c r="B1991" s="13" t="s">
        <v>407</v>
      </c>
      <c r="C1991" s="13" t="s">
        <v>400</v>
      </c>
      <c r="D1991" s="14" t="s">
        <v>250</v>
      </c>
      <c r="E1991" s="14">
        <v>99.527838656222997</v>
      </c>
      <c r="F1991" s="14">
        <v>44.832780789091153</v>
      </c>
      <c r="G1991" s="14">
        <v>117.58443229724431</v>
      </c>
      <c r="H1991" s="14">
        <v>106.24346184666082</v>
      </c>
      <c r="I1991" s="14">
        <v>111.83373631298068</v>
      </c>
      <c r="J1991" s="14">
        <v>72.261486689177801</v>
      </c>
    </row>
    <row r="1992" spans="1:10" ht="15.75" x14ac:dyDescent="0.5">
      <c r="A1992" s="13" t="s">
        <v>344</v>
      </c>
      <c r="B1992" s="13" t="s">
        <v>408</v>
      </c>
      <c r="C1992" s="13" t="s">
        <v>400</v>
      </c>
      <c r="D1992" s="14">
        <v>46.892290321001234</v>
      </c>
      <c r="E1992" s="14">
        <v>30.163177997758076</v>
      </c>
      <c r="F1992" s="14">
        <v>22.766323706355362</v>
      </c>
      <c r="G1992" s="14">
        <v>27.00029884048999</v>
      </c>
      <c r="H1992" s="14">
        <v>30.193413066558087</v>
      </c>
      <c r="I1992" s="14">
        <v>27.09988206649723</v>
      </c>
      <c r="J1992" s="14">
        <v>27.833427240875963</v>
      </c>
    </row>
    <row r="1993" spans="1:10" ht="15.75" x14ac:dyDescent="0.5">
      <c r="A1993" s="13" t="s">
        <v>344</v>
      </c>
      <c r="B1993" s="13" t="s">
        <v>409</v>
      </c>
      <c r="C1993" s="13" t="s">
        <v>400</v>
      </c>
      <c r="D1993" s="14">
        <v>18.365704270000034</v>
      </c>
      <c r="E1993" s="14">
        <v>18.365704270000034</v>
      </c>
      <c r="F1993" s="14">
        <v>18.365704270000034</v>
      </c>
      <c r="G1993" s="14">
        <v>18.365704270000034</v>
      </c>
      <c r="H1993" s="14">
        <v>18.36570427000003</v>
      </c>
      <c r="I1993" s="14">
        <v>18.36570427000003</v>
      </c>
      <c r="J1993" s="14">
        <v>18.365704270000034</v>
      </c>
    </row>
    <row r="1994" spans="1:10" ht="15.75" x14ac:dyDescent="0.5">
      <c r="A1994" s="13" t="s">
        <v>344</v>
      </c>
      <c r="B1994" s="13" t="s">
        <v>410</v>
      </c>
      <c r="C1994" s="13" t="s">
        <v>400</v>
      </c>
      <c r="D1994" s="14">
        <v>245.79356253202215</v>
      </c>
      <c r="E1994" s="14">
        <v>244.54492052230469</v>
      </c>
      <c r="F1994" s="14">
        <v>245.7281601150662</v>
      </c>
      <c r="G1994" s="14">
        <v>246.03191943610807</v>
      </c>
      <c r="H1994" s="14">
        <v>246.16997594139096</v>
      </c>
      <c r="I1994" s="14">
        <v>246.1695328024129</v>
      </c>
      <c r="J1994" s="14">
        <v>246.16997594139104</v>
      </c>
    </row>
    <row r="1995" spans="1:10" ht="15.75" x14ac:dyDescent="0.5">
      <c r="A1995" s="13" t="s">
        <v>344</v>
      </c>
      <c r="B1995" s="13" t="s">
        <v>411</v>
      </c>
      <c r="C1995" s="13" t="s">
        <v>400</v>
      </c>
      <c r="D1995" s="14">
        <v>7.1394000000000197</v>
      </c>
      <c r="E1995" s="14">
        <v>3.5593489051094984</v>
      </c>
      <c r="F1995" s="14" t="s">
        <v>250</v>
      </c>
      <c r="G1995" s="14" t="s">
        <v>250</v>
      </c>
      <c r="H1995" s="14" t="s">
        <v>250</v>
      </c>
      <c r="I1995" s="14" t="s">
        <v>250</v>
      </c>
      <c r="J1995" s="14" t="s">
        <v>250</v>
      </c>
    </row>
    <row r="1996" spans="1:10" ht="15.75" x14ac:dyDescent="0.5">
      <c r="A1996" s="13" t="s">
        <v>344</v>
      </c>
      <c r="B1996" s="13" t="s">
        <v>412</v>
      </c>
      <c r="C1996" s="13" t="s">
        <v>400</v>
      </c>
      <c r="D1996" s="14">
        <v>760.72545968400163</v>
      </c>
      <c r="E1996" s="14">
        <v>750.98134823635792</v>
      </c>
      <c r="F1996" s="14">
        <v>571.10622371413501</v>
      </c>
      <c r="G1996" s="14">
        <v>683.81140896398176</v>
      </c>
      <c r="H1996" s="14">
        <v>869.27772671786306</v>
      </c>
      <c r="I1996" s="14">
        <v>1039.8265870410664</v>
      </c>
      <c r="J1996" s="14">
        <v>1155.3657342436045</v>
      </c>
    </row>
    <row r="1997" spans="1:10" ht="15.75" x14ac:dyDescent="0.5">
      <c r="A1997" s="13" t="s">
        <v>344</v>
      </c>
      <c r="B1997" s="13" t="s">
        <v>413</v>
      </c>
      <c r="C1997" s="13" t="s">
        <v>400</v>
      </c>
      <c r="D1997" s="14">
        <v>23.702927619886136</v>
      </c>
      <c r="E1997" s="14">
        <v>28.403836934635073</v>
      </c>
      <c r="F1997" s="14">
        <v>11.285248768493618</v>
      </c>
      <c r="G1997" s="14">
        <v>4.7156883232161393</v>
      </c>
      <c r="H1997" s="14">
        <v>2.487001151612056</v>
      </c>
      <c r="I1997" s="14">
        <v>1.9075426538332558</v>
      </c>
      <c r="J1997" s="14">
        <v>1.6375442124930888</v>
      </c>
    </row>
    <row r="1998" spans="1:10" ht="15.75" x14ac:dyDescent="0.5">
      <c r="A1998" s="13" t="s">
        <v>344</v>
      </c>
      <c r="B1998" s="13" t="s">
        <v>414</v>
      </c>
      <c r="C1998" s="13" t="s">
        <v>400</v>
      </c>
      <c r="D1998" s="14">
        <v>0.68039077051095032</v>
      </c>
      <c r="E1998" s="14">
        <v>24.08015373135494</v>
      </c>
      <c r="F1998" s="14">
        <v>94.46031704370364</v>
      </c>
      <c r="G1998" s="14">
        <v>188.33408582126862</v>
      </c>
      <c r="H1998" s="14">
        <v>228.10760673189409</v>
      </c>
      <c r="I1998" s="14">
        <v>228.68461723714913</v>
      </c>
      <c r="J1998" s="14">
        <v>229.09676759804614</v>
      </c>
    </row>
    <row r="1999" spans="1:10" ht="15.75" x14ac:dyDescent="0.5">
      <c r="A1999" s="13" t="s">
        <v>344</v>
      </c>
      <c r="B1999" s="13" t="s">
        <v>415</v>
      </c>
      <c r="C1999" s="13" t="s">
        <v>400</v>
      </c>
      <c r="D1999" s="14">
        <v>440.53124483255573</v>
      </c>
      <c r="E1999" s="14">
        <v>864.13934000597328</v>
      </c>
      <c r="F1999" s="14">
        <v>1318.1623081498906</v>
      </c>
      <c r="G1999" s="14">
        <v>1366.3837414092977</v>
      </c>
      <c r="H1999" s="14">
        <v>1427.119131476511</v>
      </c>
      <c r="I1999" s="14">
        <v>1463.9888608275983</v>
      </c>
      <c r="J1999" s="14">
        <v>1482.0315867227962</v>
      </c>
    </row>
    <row r="2000" spans="1:10" ht="15.75" x14ac:dyDescent="0.5">
      <c r="A2000" s="13" t="s">
        <v>344</v>
      </c>
      <c r="B2000" s="13" t="s">
        <v>416</v>
      </c>
      <c r="C2000" s="13" t="s">
        <v>400</v>
      </c>
      <c r="D2000" s="14" t="s">
        <v>250</v>
      </c>
      <c r="E2000" s="14">
        <v>54.174742594981005</v>
      </c>
      <c r="F2000" s="14">
        <v>66.675949052097508</v>
      </c>
      <c r="G2000" s="14">
        <v>76.801435170202112</v>
      </c>
      <c r="H2000" s="14">
        <v>77.990654991853717</v>
      </c>
      <c r="I2000" s="14">
        <v>82.683057309487651</v>
      </c>
      <c r="J2000" s="14">
        <v>94.727837483420984</v>
      </c>
    </row>
    <row r="2001" spans="1:10" ht="15.75" x14ac:dyDescent="0.5">
      <c r="A2001" s="13" t="s">
        <v>344</v>
      </c>
      <c r="B2001" s="13" t="s">
        <v>417</v>
      </c>
      <c r="C2001" s="13" t="s">
        <v>400</v>
      </c>
      <c r="D2001" s="14">
        <v>187.48709633408691</v>
      </c>
      <c r="E2001" s="14">
        <v>300.41916565472275</v>
      </c>
      <c r="F2001" s="14">
        <v>344.36203576771959</v>
      </c>
      <c r="G2001" s="14">
        <v>381.83382395089279</v>
      </c>
      <c r="H2001" s="14">
        <v>450.70568198359422</v>
      </c>
      <c r="I2001" s="14">
        <v>565.18340050097436</v>
      </c>
      <c r="J2001" s="14">
        <v>762.97385672588757</v>
      </c>
    </row>
    <row r="2002" spans="1:10" ht="15.75" x14ac:dyDescent="0.5">
      <c r="A2002" s="13" t="s">
        <v>344</v>
      </c>
      <c r="B2002" s="13" t="s">
        <v>418</v>
      </c>
      <c r="C2002" s="13" t="s">
        <v>400</v>
      </c>
      <c r="D2002" s="14">
        <v>3.184175173101953</v>
      </c>
      <c r="E2002" s="14">
        <v>3.1841751731019534</v>
      </c>
      <c r="F2002" s="14">
        <v>3.1841751731019534</v>
      </c>
      <c r="G2002" s="14">
        <v>3.1841751731019534</v>
      </c>
      <c r="H2002" s="14">
        <v>3.1841751731019534</v>
      </c>
      <c r="I2002" s="14">
        <v>3.184175173101953</v>
      </c>
      <c r="J2002" s="14">
        <v>3.184175173101953</v>
      </c>
    </row>
    <row r="2003" spans="1:10" ht="15.75" x14ac:dyDescent="0.5">
      <c r="A2003" s="13" t="s">
        <v>344</v>
      </c>
      <c r="B2003" s="13" t="s">
        <v>419</v>
      </c>
      <c r="C2003" s="13" t="s">
        <v>400</v>
      </c>
      <c r="D2003" s="14">
        <v>0.54465920264079504</v>
      </c>
      <c r="E2003" s="14">
        <v>9.021908408134232</v>
      </c>
      <c r="F2003" s="14">
        <v>16.729664698485283</v>
      </c>
      <c r="G2003" s="14">
        <v>17.910874305288665</v>
      </c>
      <c r="H2003" s="14">
        <v>19.57408340962489</v>
      </c>
      <c r="I2003" s="14">
        <v>14.73940734022897</v>
      </c>
      <c r="J2003" s="14">
        <v>32.460300845665195</v>
      </c>
    </row>
    <row r="2004" spans="1:10" ht="15.75" x14ac:dyDescent="0.5">
      <c r="A2004" s="13" t="s">
        <v>344</v>
      </c>
      <c r="B2004" s="13" t="s">
        <v>420</v>
      </c>
      <c r="C2004" s="13" t="s">
        <v>400</v>
      </c>
      <c r="D2004" s="14">
        <v>-13.987252957808311</v>
      </c>
      <c r="E2004" s="14">
        <v>-13.734994099454578</v>
      </c>
      <c r="F2004" s="14">
        <v>-13.022775102442367</v>
      </c>
      <c r="G2004" s="14">
        <v>-11.861524612496853</v>
      </c>
      <c r="H2004" s="14">
        <v>-13.966423354639375</v>
      </c>
      <c r="I2004" s="14">
        <v>-16.451522238091606</v>
      </c>
      <c r="J2004" s="14">
        <v>-18.204788213702621</v>
      </c>
    </row>
    <row r="2005" spans="1:10" ht="15.75" x14ac:dyDescent="0.5">
      <c r="A2005" s="13" t="s">
        <v>345</v>
      </c>
      <c r="B2005" s="13" t="s">
        <v>399</v>
      </c>
      <c r="C2005" s="13" t="s">
        <v>400</v>
      </c>
      <c r="D2005" s="14">
        <v>7.2499064625597889</v>
      </c>
      <c r="E2005" s="14">
        <v>4.2389343065693544E-2</v>
      </c>
      <c r="F2005" s="14">
        <v>0.51246000000000103</v>
      </c>
      <c r="G2005" s="14">
        <v>1.0776216415244062</v>
      </c>
      <c r="H2005" s="14">
        <v>2.643506857521996</v>
      </c>
      <c r="I2005" s="14">
        <v>1.5423072281191774</v>
      </c>
      <c r="J2005" s="14">
        <v>0.85918206774666428</v>
      </c>
    </row>
    <row r="2006" spans="1:10" ht="15.75" x14ac:dyDescent="0.5">
      <c r="A2006" s="13" t="s">
        <v>345</v>
      </c>
      <c r="B2006" s="13" t="s">
        <v>401</v>
      </c>
      <c r="C2006" s="13" t="s">
        <v>400</v>
      </c>
      <c r="D2006" s="14" t="s">
        <v>250</v>
      </c>
      <c r="E2006" s="14" t="s">
        <v>250</v>
      </c>
      <c r="F2006" s="14">
        <v>83.899014716110642</v>
      </c>
      <c r="G2006" s="14">
        <v>83.899014716110628</v>
      </c>
      <c r="H2006" s="14">
        <v>15.740664668961987</v>
      </c>
      <c r="I2006" s="14">
        <v>13.990994905416555</v>
      </c>
      <c r="J2006" s="14" t="s">
        <v>250</v>
      </c>
    </row>
    <row r="2007" spans="1:10" ht="15.75" x14ac:dyDescent="0.5">
      <c r="A2007" s="13" t="s">
        <v>345</v>
      </c>
      <c r="B2007" s="13" t="s">
        <v>402</v>
      </c>
      <c r="C2007" s="13" t="s">
        <v>400</v>
      </c>
      <c r="D2007" s="14">
        <v>1072.9916742877467</v>
      </c>
      <c r="E2007" s="14">
        <v>280.63286081747464</v>
      </c>
      <c r="F2007" s="14">
        <v>149.58582929298217</v>
      </c>
      <c r="G2007" s="14">
        <v>142.58584113652594</v>
      </c>
      <c r="H2007" s="14">
        <v>137.81947742020148</v>
      </c>
      <c r="I2007" s="14">
        <v>119.47656688942946</v>
      </c>
      <c r="J2007" s="14">
        <v>84.714513157214213</v>
      </c>
    </row>
    <row r="2008" spans="1:10" ht="15.75" x14ac:dyDescent="0.5">
      <c r="A2008" s="13" t="s">
        <v>345</v>
      </c>
      <c r="B2008" s="13" t="s">
        <v>403</v>
      </c>
      <c r="C2008" s="13" t="s">
        <v>400</v>
      </c>
      <c r="D2008" s="14" t="s">
        <v>250</v>
      </c>
      <c r="E2008" s="14" t="s">
        <v>250</v>
      </c>
      <c r="F2008" s="14">
        <v>38.573774160105238</v>
      </c>
      <c r="G2008" s="14">
        <v>38.573774160105245</v>
      </c>
      <c r="H2008" s="14">
        <v>7.779360045875233</v>
      </c>
      <c r="I2008" s="14">
        <v>7.7793600458752312</v>
      </c>
      <c r="J2008" s="14" t="s">
        <v>250</v>
      </c>
    </row>
    <row r="2009" spans="1:10" ht="15.75" x14ac:dyDescent="0.5">
      <c r="A2009" s="13" t="s">
        <v>345</v>
      </c>
      <c r="B2009" s="13" t="s">
        <v>404</v>
      </c>
      <c r="C2009" s="13" t="s">
        <v>400</v>
      </c>
      <c r="D2009" s="14" t="s">
        <v>250</v>
      </c>
      <c r="E2009" s="14" t="s">
        <v>250</v>
      </c>
      <c r="F2009" s="14" t="s">
        <v>250</v>
      </c>
      <c r="G2009" s="14" t="s">
        <v>250</v>
      </c>
      <c r="H2009" s="14" t="s">
        <v>250</v>
      </c>
      <c r="I2009" s="14">
        <v>0.33069896914528535</v>
      </c>
      <c r="J2009" s="14">
        <v>0.33069896914528535</v>
      </c>
    </row>
    <row r="2010" spans="1:10" ht="15.75" x14ac:dyDescent="0.5">
      <c r="A2010" s="13" t="s">
        <v>345</v>
      </c>
      <c r="B2010" s="13" t="s">
        <v>421</v>
      </c>
      <c r="C2010" s="13" t="s">
        <v>400</v>
      </c>
      <c r="D2010" s="14" t="s">
        <v>250</v>
      </c>
      <c r="E2010" s="14" t="s">
        <v>250</v>
      </c>
      <c r="F2010" s="14" t="s">
        <v>250</v>
      </c>
      <c r="G2010" s="14">
        <v>29.585042822996911</v>
      </c>
      <c r="H2010" s="14">
        <v>79.748860801563765</v>
      </c>
      <c r="I2010" s="14">
        <v>79.634705055878442</v>
      </c>
      <c r="J2010" s="14">
        <v>24.844300352471052</v>
      </c>
    </row>
    <row r="2011" spans="1:10" ht="15.75" x14ac:dyDescent="0.5">
      <c r="A2011" s="13" t="s">
        <v>345</v>
      </c>
      <c r="B2011" s="13" t="s">
        <v>405</v>
      </c>
      <c r="C2011" s="13" t="s">
        <v>400</v>
      </c>
      <c r="D2011" s="14">
        <v>1259.3891290889949</v>
      </c>
      <c r="E2011" s="14">
        <v>1481.2197872756537</v>
      </c>
      <c r="F2011" s="14">
        <v>1687.9299999670986</v>
      </c>
      <c r="G2011" s="14">
        <v>2353.3530102732589</v>
      </c>
      <c r="H2011" s="14">
        <v>3238.6120972618464</v>
      </c>
      <c r="I2011" s="14">
        <v>3900.5302713600286</v>
      </c>
      <c r="J2011" s="14">
        <v>4338.2679151703451</v>
      </c>
    </row>
    <row r="2012" spans="1:10" ht="15.75" x14ac:dyDescent="0.5">
      <c r="A2012" s="13" t="s">
        <v>345</v>
      </c>
      <c r="B2012" s="13" t="s">
        <v>406</v>
      </c>
      <c r="C2012" s="13" t="s">
        <v>400</v>
      </c>
      <c r="D2012" s="14">
        <v>23.479196814299321</v>
      </c>
      <c r="E2012" s="14">
        <v>29.79407699967701</v>
      </c>
      <c r="F2012" s="14">
        <v>43.020619030483637</v>
      </c>
      <c r="G2012" s="14">
        <v>43.360519566446122</v>
      </c>
      <c r="H2012" s="14">
        <v>43.821690131935846</v>
      </c>
      <c r="I2012" s="14">
        <v>44.924881875582166</v>
      </c>
      <c r="J2012" s="14">
        <v>43.812020456098871</v>
      </c>
    </row>
    <row r="2013" spans="1:10" ht="15.75" x14ac:dyDescent="0.5">
      <c r="A2013" s="13" t="s">
        <v>345</v>
      </c>
      <c r="B2013" s="13" t="s">
        <v>407</v>
      </c>
      <c r="C2013" s="13" t="s">
        <v>400</v>
      </c>
      <c r="D2013" s="14" t="s">
        <v>250</v>
      </c>
      <c r="E2013" s="14">
        <v>98.211568598805385</v>
      </c>
      <c r="F2013" s="14">
        <v>49.492270916788264</v>
      </c>
      <c r="G2013" s="14">
        <v>116.59542181345803</v>
      </c>
      <c r="H2013" s="14">
        <v>131.28110106913505</v>
      </c>
      <c r="I2013" s="14">
        <v>153.72721035162743</v>
      </c>
      <c r="J2013" s="14">
        <v>118.94176463068909</v>
      </c>
    </row>
    <row r="2014" spans="1:10" ht="15.75" x14ac:dyDescent="0.5">
      <c r="A2014" s="13" t="s">
        <v>345</v>
      </c>
      <c r="B2014" s="13" t="s">
        <v>408</v>
      </c>
      <c r="C2014" s="13" t="s">
        <v>400</v>
      </c>
      <c r="D2014" s="14">
        <v>46.892290321001219</v>
      </c>
      <c r="E2014" s="14">
        <v>30.105402973928658</v>
      </c>
      <c r="F2014" s="14">
        <v>22.911656095180927</v>
      </c>
      <c r="G2014" s="14">
        <v>27.200447242219006</v>
      </c>
      <c r="H2014" s="14">
        <v>28.826624313064475</v>
      </c>
      <c r="I2014" s="14">
        <v>28.687774494074777</v>
      </c>
      <c r="J2014" s="14">
        <v>29.936667416058459</v>
      </c>
    </row>
    <row r="2015" spans="1:10" ht="15.75" x14ac:dyDescent="0.5">
      <c r="A2015" s="13" t="s">
        <v>345</v>
      </c>
      <c r="B2015" s="13" t="s">
        <v>409</v>
      </c>
      <c r="C2015" s="13" t="s">
        <v>400</v>
      </c>
      <c r="D2015" s="14">
        <v>18.365704270000034</v>
      </c>
      <c r="E2015" s="14">
        <v>18.365704270000037</v>
      </c>
      <c r="F2015" s="14">
        <v>18.36570427000003</v>
      </c>
      <c r="G2015" s="14">
        <v>18.365704270000034</v>
      </c>
      <c r="H2015" s="14">
        <v>18.36570427000003</v>
      </c>
      <c r="I2015" s="14">
        <v>18.36570427000003</v>
      </c>
      <c r="J2015" s="14">
        <v>18.365704270000037</v>
      </c>
    </row>
    <row r="2016" spans="1:10" ht="15.75" x14ac:dyDescent="0.5">
      <c r="A2016" s="13" t="s">
        <v>345</v>
      </c>
      <c r="B2016" s="13" t="s">
        <v>410</v>
      </c>
      <c r="C2016" s="13" t="s">
        <v>400</v>
      </c>
      <c r="D2016" s="14">
        <v>245.79356253202221</v>
      </c>
      <c r="E2016" s="14">
        <v>244.54578888074985</v>
      </c>
      <c r="F2016" s="14">
        <v>245.73360614310496</v>
      </c>
      <c r="G2016" s="14">
        <v>245.97600095287808</v>
      </c>
      <c r="H2016" s="14">
        <v>246.1699759413911</v>
      </c>
      <c r="I2016" s="14">
        <v>246.16997594139107</v>
      </c>
      <c r="J2016" s="14">
        <v>246.16997594139099</v>
      </c>
    </row>
    <row r="2017" spans="1:10" ht="15.75" x14ac:dyDescent="0.5">
      <c r="A2017" s="13" t="s">
        <v>345</v>
      </c>
      <c r="B2017" s="13" t="s">
        <v>411</v>
      </c>
      <c r="C2017" s="13" t="s">
        <v>400</v>
      </c>
      <c r="D2017" s="14">
        <v>7.1394000000000171</v>
      </c>
      <c r="E2017" s="14">
        <v>3.5593489051094975</v>
      </c>
      <c r="F2017" s="14" t="s">
        <v>250</v>
      </c>
      <c r="G2017" s="14" t="s">
        <v>250</v>
      </c>
      <c r="H2017" s="14" t="s">
        <v>250</v>
      </c>
      <c r="I2017" s="14" t="s">
        <v>250</v>
      </c>
      <c r="J2017" s="14" t="s">
        <v>250</v>
      </c>
    </row>
    <row r="2018" spans="1:10" ht="15.75" x14ac:dyDescent="0.5">
      <c r="A2018" s="13" t="s">
        <v>345</v>
      </c>
      <c r="B2018" s="13" t="s">
        <v>412</v>
      </c>
      <c r="C2018" s="13" t="s">
        <v>400</v>
      </c>
      <c r="D2018" s="14">
        <v>760.72545968400152</v>
      </c>
      <c r="E2018" s="14">
        <v>744.5076566489779</v>
      </c>
      <c r="F2018" s="14">
        <v>534.06168584222189</v>
      </c>
      <c r="G2018" s="14">
        <v>591.49741420958958</v>
      </c>
      <c r="H2018" s="14">
        <v>604.02698369878237</v>
      </c>
      <c r="I2018" s="14">
        <v>604.02698369878215</v>
      </c>
      <c r="J2018" s="14">
        <v>590.92518808729585</v>
      </c>
    </row>
    <row r="2019" spans="1:10" ht="15.75" x14ac:dyDescent="0.5">
      <c r="A2019" s="13" t="s">
        <v>345</v>
      </c>
      <c r="B2019" s="13" t="s">
        <v>413</v>
      </c>
      <c r="C2019" s="13" t="s">
        <v>400</v>
      </c>
      <c r="D2019" s="14">
        <v>23.702927619886136</v>
      </c>
      <c r="E2019" s="14">
        <v>27.954802079211433</v>
      </c>
      <c r="F2019" s="14">
        <v>11.578445818799292</v>
      </c>
      <c r="G2019" s="14">
        <v>4.5500142220264355</v>
      </c>
      <c r="H2019" s="14">
        <v>2.3953040030320354</v>
      </c>
      <c r="I2019" s="14">
        <v>1.8485185203995704</v>
      </c>
      <c r="J2019" s="14">
        <v>1.6328305481147924</v>
      </c>
    </row>
    <row r="2020" spans="1:10" ht="15.75" x14ac:dyDescent="0.5">
      <c r="A2020" s="13" t="s">
        <v>345</v>
      </c>
      <c r="B2020" s="13" t="s">
        <v>414</v>
      </c>
      <c r="C2020" s="13" t="s">
        <v>400</v>
      </c>
      <c r="D2020" s="14">
        <v>0.68039077051095009</v>
      </c>
      <c r="E2020" s="14">
        <v>24.08622649317746</v>
      </c>
      <c r="F2020" s="14">
        <v>94.448097012017925</v>
      </c>
      <c r="G2020" s="14">
        <v>188.25085031794512</v>
      </c>
      <c r="H2020" s="14">
        <v>228.01538605570971</v>
      </c>
      <c r="I2020" s="14">
        <v>228.59212775199819</v>
      </c>
      <c r="J2020" s="14">
        <v>229.00408610649043</v>
      </c>
    </row>
    <row r="2021" spans="1:10" ht="15.75" x14ac:dyDescent="0.5">
      <c r="A2021" s="13" t="s">
        <v>345</v>
      </c>
      <c r="B2021" s="13" t="s">
        <v>415</v>
      </c>
      <c r="C2021" s="13" t="s">
        <v>400</v>
      </c>
      <c r="D2021" s="14">
        <v>440.53124483255561</v>
      </c>
      <c r="E2021" s="14">
        <v>864.39425631419044</v>
      </c>
      <c r="F2021" s="14">
        <v>1325.9690759722262</v>
      </c>
      <c r="G2021" s="14">
        <v>1407.0040652929986</v>
      </c>
      <c r="H2021" s="14">
        <v>1509.302187716195</v>
      </c>
      <c r="I2021" s="14">
        <v>1581.2393685608008</v>
      </c>
      <c r="J2021" s="14">
        <v>1657.8226139787107</v>
      </c>
    </row>
    <row r="2022" spans="1:10" ht="15.75" x14ac:dyDescent="0.5">
      <c r="A2022" s="13" t="s">
        <v>345</v>
      </c>
      <c r="B2022" s="13" t="s">
        <v>416</v>
      </c>
      <c r="C2022" s="13" t="s">
        <v>400</v>
      </c>
      <c r="D2022" s="14" t="s">
        <v>250</v>
      </c>
      <c r="E2022" s="14">
        <v>54.174742594980998</v>
      </c>
      <c r="F2022" s="14">
        <v>66.675949052097479</v>
      </c>
      <c r="G2022" s="14">
        <v>76.801435170202083</v>
      </c>
      <c r="H2022" s="14">
        <v>77.990654991853702</v>
      </c>
      <c r="I2022" s="14">
        <v>82.683057309487651</v>
      </c>
      <c r="J2022" s="14">
        <v>94.727837483420984</v>
      </c>
    </row>
    <row r="2023" spans="1:10" ht="15.75" x14ac:dyDescent="0.5">
      <c r="A2023" s="13" t="s">
        <v>345</v>
      </c>
      <c r="B2023" s="13" t="s">
        <v>417</v>
      </c>
      <c r="C2023" s="13" t="s">
        <v>400</v>
      </c>
      <c r="D2023" s="14">
        <v>187.48709633408686</v>
      </c>
      <c r="E2023" s="14">
        <v>300.42561801255215</v>
      </c>
      <c r="F2023" s="14">
        <v>344.40741135721004</v>
      </c>
      <c r="G2023" s="14">
        <v>411.63062937446875</v>
      </c>
      <c r="H2023" s="14">
        <v>574.94201770551649</v>
      </c>
      <c r="I2023" s="14">
        <v>764.74723057030474</v>
      </c>
      <c r="J2023" s="14">
        <v>1013.6995180276058</v>
      </c>
    </row>
    <row r="2024" spans="1:10" ht="15.75" x14ac:dyDescent="0.5">
      <c r="A2024" s="13" t="s">
        <v>345</v>
      </c>
      <c r="B2024" s="13" t="s">
        <v>418</v>
      </c>
      <c r="C2024" s="13" t="s">
        <v>400</v>
      </c>
      <c r="D2024" s="14">
        <v>3.1841751731019534</v>
      </c>
      <c r="E2024" s="14">
        <v>3.184175173101953</v>
      </c>
      <c r="F2024" s="14">
        <v>3.184175173101953</v>
      </c>
      <c r="G2024" s="14">
        <v>3.184175173101953</v>
      </c>
      <c r="H2024" s="14">
        <v>3.1841751731019539</v>
      </c>
      <c r="I2024" s="14">
        <v>3.184175173101953</v>
      </c>
      <c r="J2024" s="14">
        <v>3.184175173101953</v>
      </c>
    </row>
    <row r="2025" spans="1:10" ht="15.75" x14ac:dyDescent="0.5">
      <c r="A2025" s="13" t="s">
        <v>345</v>
      </c>
      <c r="B2025" s="13" t="s">
        <v>419</v>
      </c>
      <c r="C2025" s="13" t="s">
        <v>400</v>
      </c>
      <c r="D2025" s="14">
        <v>0.54465920264079504</v>
      </c>
      <c r="E2025" s="14">
        <v>8.9374230543166693</v>
      </c>
      <c r="F2025" s="14">
        <v>16.711721738325998</v>
      </c>
      <c r="G2025" s="14">
        <v>17.678373053679152</v>
      </c>
      <c r="H2025" s="14">
        <v>21.721697247417506</v>
      </c>
      <c r="I2025" s="14">
        <v>27.296054979009703</v>
      </c>
      <c r="J2025" s="14">
        <v>50.929755288325524</v>
      </c>
    </row>
    <row r="2026" spans="1:10" ht="15.75" x14ac:dyDescent="0.5">
      <c r="A2026" s="13" t="s">
        <v>345</v>
      </c>
      <c r="B2026" s="13" t="s">
        <v>420</v>
      </c>
      <c r="C2026" s="13" t="s">
        <v>400</v>
      </c>
      <c r="D2026" s="14">
        <v>-13.987252957808405</v>
      </c>
      <c r="E2026" s="14">
        <v>-13.670150826397418</v>
      </c>
      <c r="F2026" s="14">
        <v>-12.674117804792223</v>
      </c>
      <c r="G2026" s="14">
        <v>-11.551704711983461</v>
      </c>
      <c r="H2026" s="14">
        <v>-14.119025405594698</v>
      </c>
      <c r="I2026" s="14">
        <v>-17.082581876800901</v>
      </c>
      <c r="J2026" s="14">
        <v>-19.002211799048862</v>
      </c>
    </row>
    <row r="2027" spans="1:10" ht="15.75" x14ac:dyDescent="0.5">
      <c r="A2027" s="13" t="s">
        <v>346</v>
      </c>
      <c r="B2027" s="13" t="s">
        <v>399</v>
      </c>
      <c r="C2027" s="13" t="s">
        <v>400</v>
      </c>
      <c r="D2027" s="14">
        <v>7.2499064625597898</v>
      </c>
      <c r="E2027" s="14">
        <v>4.2389343065693544E-2</v>
      </c>
      <c r="F2027" s="14">
        <v>0.51246000000000114</v>
      </c>
      <c r="G2027" s="14">
        <v>1.0955817946852839</v>
      </c>
      <c r="H2027" s="14">
        <v>2.6427878444650199</v>
      </c>
      <c r="I2027" s="14">
        <v>1.3215068112897006</v>
      </c>
      <c r="J2027" s="14">
        <v>0.8841537787215783</v>
      </c>
    </row>
    <row r="2028" spans="1:10" ht="15.75" x14ac:dyDescent="0.5">
      <c r="A2028" s="13" t="s">
        <v>346</v>
      </c>
      <c r="B2028" s="13" t="s">
        <v>401</v>
      </c>
      <c r="C2028" s="13" t="s">
        <v>400</v>
      </c>
      <c r="D2028" s="14" t="s">
        <v>250</v>
      </c>
      <c r="E2028" s="14" t="s">
        <v>250</v>
      </c>
      <c r="F2028" s="14">
        <v>83.899014716110671</v>
      </c>
      <c r="G2028" s="14">
        <v>83.899014716110656</v>
      </c>
      <c r="H2028" s="14">
        <v>15.681328932193468</v>
      </c>
      <c r="I2028" s="14">
        <v>13.976589025805255</v>
      </c>
      <c r="J2028" s="14" t="s">
        <v>250</v>
      </c>
    </row>
    <row r="2029" spans="1:10" ht="15.75" x14ac:dyDescent="0.5">
      <c r="A2029" s="13" t="s">
        <v>346</v>
      </c>
      <c r="B2029" s="13" t="s">
        <v>402</v>
      </c>
      <c r="C2029" s="13" t="s">
        <v>400</v>
      </c>
      <c r="D2029" s="14">
        <v>1072.9916742877463</v>
      </c>
      <c r="E2029" s="14">
        <v>280.52567787644495</v>
      </c>
      <c r="F2029" s="14">
        <v>149.42960413205586</v>
      </c>
      <c r="G2029" s="14">
        <v>142.52311191849208</v>
      </c>
      <c r="H2029" s="14">
        <v>137.55754485385032</v>
      </c>
      <c r="I2029" s="14">
        <v>119.28890183747305</v>
      </c>
      <c r="J2029" s="14">
        <v>84.673992472442961</v>
      </c>
    </row>
    <row r="2030" spans="1:10" ht="15.75" x14ac:dyDescent="0.5">
      <c r="A2030" s="13" t="s">
        <v>346</v>
      </c>
      <c r="B2030" s="13" t="s">
        <v>403</v>
      </c>
      <c r="C2030" s="13" t="s">
        <v>400</v>
      </c>
      <c r="D2030" s="14" t="s">
        <v>250</v>
      </c>
      <c r="E2030" s="14" t="s">
        <v>250</v>
      </c>
      <c r="F2030" s="14">
        <v>38.573774160105238</v>
      </c>
      <c r="G2030" s="14">
        <v>38.573774160105245</v>
      </c>
      <c r="H2030" s="14">
        <v>7.7793600458752312</v>
      </c>
      <c r="I2030" s="14">
        <v>7.7793600458752339</v>
      </c>
      <c r="J2030" s="14" t="s">
        <v>250</v>
      </c>
    </row>
    <row r="2031" spans="1:10" ht="15.75" x14ac:dyDescent="0.5">
      <c r="A2031" s="13" t="s">
        <v>346</v>
      </c>
      <c r="B2031" s="13" t="s">
        <v>404</v>
      </c>
      <c r="C2031" s="13" t="s">
        <v>400</v>
      </c>
      <c r="D2031" s="14" t="s">
        <v>250</v>
      </c>
      <c r="E2031" s="14" t="s">
        <v>250</v>
      </c>
      <c r="F2031" s="14" t="s">
        <v>250</v>
      </c>
      <c r="G2031" s="14" t="s">
        <v>250</v>
      </c>
      <c r="H2031" s="14" t="s">
        <v>250</v>
      </c>
      <c r="I2031" s="14">
        <v>0.33069896914528535</v>
      </c>
      <c r="J2031" s="14">
        <v>0.33069896914528535</v>
      </c>
    </row>
    <row r="2032" spans="1:10" ht="15.75" x14ac:dyDescent="0.5">
      <c r="A2032" s="13" t="s">
        <v>346</v>
      </c>
      <c r="B2032" s="13" t="s">
        <v>421</v>
      </c>
      <c r="C2032" s="13" t="s">
        <v>400</v>
      </c>
      <c r="D2032" s="14" t="s">
        <v>250</v>
      </c>
      <c r="E2032" s="14" t="s">
        <v>250</v>
      </c>
      <c r="F2032" s="14" t="s">
        <v>250</v>
      </c>
      <c r="G2032" s="14">
        <v>29.585042822996904</v>
      </c>
      <c r="H2032" s="14">
        <v>79.748860801563723</v>
      </c>
      <c r="I2032" s="14">
        <v>79.73460622150148</v>
      </c>
      <c r="J2032" s="14">
        <v>25.7549274440644</v>
      </c>
    </row>
    <row r="2033" spans="1:10" ht="15.75" x14ac:dyDescent="0.5">
      <c r="A2033" s="13" t="s">
        <v>346</v>
      </c>
      <c r="B2033" s="13" t="s">
        <v>405</v>
      </c>
      <c r="C2033" s="13" t="s">
        <v>400</v>
      </c>
      <c r="D2033" s="14">
        <v>1259.389129088994</v>
      </c>
      <c r="E2033" s="14">
        <v>1481.3055383805031</v>
      </c>
      <c r="F2033" s="14">
        <v>1688.0805838824153</v>
      </c>
      <c r="G2033" s="14">
        <v>2354.7016145418793</v>
      </c>
      <c r="H2033" s="14">
        <v>3240.5535639385089</v>
      </c>
      <c r="I2033" s="14">
        <v>3892.4142890878156</v>
      </c>
      <c r="J2033" s="14">
        <v>4304.5104622801755</v>
      </c>
    </row>
    <row r="2034" spans="1:10" ht="15.75" x14ac:dyDescent="0.5">
      <c r="A2034" s="13" t="s">
        <v>346</v>
      </c>
      <c r="B2034" s="13" t="s">
        <v>406</v>
      </c>
      <c r="C2034" s="13" t="s">
        <v>400</v>
      </c>
      <c r="D2034" s="14">
        <v>23.479196814299328</v>
      </c>
      <c r="E2034" s="14">
        <v>29.804459513069105</v>
      </c>
      <c r="F2034" s="14">
        <v>43.020815903604195</v>
      </c>
      <c r="G2034" s="14">
        <v>43.340314744765841</v>
      </c>
      <c r="H2034" s="14">
        <v>43.660973145753907</v>
      </c>
      <c r="I2034" s="14">
        <v>44.795149032165163</v>
      </c>
      <c r="J2034" s="14">
        <v>43.853885185231341</v>
      </c>
    </row>
    <row r="2035" spans="1:10" ht="15.75" x14ac:dyDescent="0.5">
      <c r="A2035" s="13" t="s">
        <v>346</v>
      </c>
      <c r="B2035" s="13" t="s">
        <v>407</v>
      </c>
      <c r="C2035" s="13" t="s">
        <v>400</v>
      </c>
      <c r="D2035" s="14" t="s">
        <v>250</v>
      </c>
      <c r="E2035" s="14">
        <v>98.239807015745995</v>
      </c>
      <c r="F2035" s="14">
        <v>49.523182592490976</v>
      </c>
      <c r="G2035" s="14">
        <v>115.98761966758991</v>
      </c>
      <c r="H2035" s="14">
        <v>131.415478723462</v>
      </c>
      <c r="I2035" s="14">
        <v>148.98252917561851</v>
      </c>
      <c r="J2035" s="14">
        <v>102.70602839820695</v>
      </c>
    </row>
    <row r="2036" spans="1:10" ht="15.75" x14ac:dyDescent="0.5">
      <c r="A2036" s="13" t="s">
        <v>346</v>
      </c>
      <c r="B2036" s="13" t="s">
        <v>408</v>
      </c>
      <c r="C2036" s="13" t="s">
        <v>400</v>
      </c>
      <c r="D2036" s="14">
        <v>46.892290321001219</v>
      </c>
      <c r="E2036" s="14">
        <v>30.10667344533173</v>
      </c>
      <c r="F2036" s="14">
        <v>22.905944491219035</v>
      </c>
      <c r="G2036" s="14">
        <v>27.216044650002193</v>
      </c>
      <c r="H2036" s="14">
        <v>28.792664621106667</v>
      </c>
      <c r="I2036" s="14">
        <v>29.293264620960361</v>
      </c>
      <c r="J2036" s="14">
        <v>29.940307094890567</v>
      </c>
    </row>
    <row r="2037" spans="1:10" ht="15.75" x14ac:dyDescent="0.5">
      <c r="A2037" s="13" t="s">
        <v>346</v>
      </c>
      <c r="B2037" s="13" t="s">
        <v>409</v>
      </c>
      <c r="C2037" s="13" t="s">
        <v>400</v>
      </c>
      <c r="D2037" s="14">
        <v>18.365704270000034</v>
      </c>
      <c r="E2037" s="14">
        <v>18.365704270000034</v>
      </c>
      <c r="F2037" s="14">
        <v>18.365704270000037</v>
      </c>
      <c r="G2037" s="14">
        <v>18.365704270000037</v>
      </c>
      <c r="H2037" s="14">
        <v>18.36570427000003</v>
      </c>
      <c r="I2037" s="14">
        <v>18.36570427000003</v>
      </c>
      <c r="J2037" s="14">
        <v>18.36570427000003</v>
      </c>
    </row>
    <row r="2038" spans="1:10" ht="15.75" x14ac:dyDescent="0.5">
      <c r="A2038" s="13" t="s">
        <v>346</v>
      </c>
      <c r="B2038" s="13" t="s">
        <v>410</v>
      </c>
      <c r="C2038" s="13" t="s">
        <v>400</v>
      </c>
      <c r="D2038" s="14">
        <v>245.79356253202218</v>
      </c>
      <c r="E2038" s="14">
        <v>244.54488036619298</v>
      </c>
      <c r="F2038" s="14">
        <v>245.72027896513441</v>
      </c>
      <c r="G2038" s="14">
        <v>245.97503817781856</v>
      </c>
      <c r="H2038" s="14">
        <v>246.16997594139096</v>
      </c>
      <c r="I2038" s="14">
        <v>246.16997594139093</v>
      </c>
      <c r="J2038" s="14">
        <v>246.16997594139099</v>
      </c>
    </row>
    <row r="2039" spans="1:10" ht="15.75" x14ac:dyDescent="0.5">
      <c r="A2039" s="13" t="s">
        <v>346</v>
      </c>
      <c r="B2039" s="13" t="s">
        <v>411</v>
      </c>
      <c r="C2039" s="13" t="s">
        <v>400</v>
      </c>
      <c r="D2039" s="14">
        <v>7.1394000000000162</v>
      </c>
      <c r="E2039" s="14">
        <v>3.5593489051094975</v>
      </c>
      <c r="F2039" s="14" t="s">
        <v>250</v>
      </c>
      <c r="G2039" s="14" t="s">
        <v>250</v>
      </c>
      <c r="H2039" s="14" t="s">
        <v>250</v>
      </c>
      <c r="I2039" s="14" t="s">
        <v>250</v>
      </c>
      <c r="J2039" s="14" t="s">
        <v>250</v>
      </c>
    </row>
    <row r="2040" spans="1:10" ht="15.75" x14ac:dyDescent="0.5">
      <c r="A2040" s="13" t="s">
        <v>346</v>
      </c>
      <c r="B2040" s="13" t="s">
        <v>412</v>
      </c>
      <c r="C2040" s="13" t="s">
        <v>400</v>
      </c>
      <c r="D2040" s="14">
        <v>760.72545968400186</v>
      </c>
      <c r="E2040" s="14">
        <v>744.48493697798324</v>
      </c>
      <c r="F2040" s="14">
        <v>534.09539613165543</v>
      </c>
      <c r="G2040" s="14">
        <v>591.74677515418148</v>
      </c>
      <c r="H2040" s="14">
        <v>611.28339527390608</v>
      </c>
      <c r="I2040" s="14">
        <v>639.53414161893022</v>
      </c>
      <c r="J2040" s="14">
        <v>673.77860254363986</v>
      </c>
    </row>
    <row r="2041" spans="1:10" ht="15.75" x14ac:dyDescent="0.5">
      <c r="A2041" s="13" t="s">
        <v>346</v>
      </c>
      <c r="B2041" s="13" t="s">
        <v>413</v>
      </c>
      <c r="C2041" s="13" t="s">
        <v>400</v>
      </c>
      <c r="D2041" s="14">
        <v>23.702927619886136</v>
      </c>
      <c r="E2041" s="14">
        <v>27.950417396408078</v>
      </c>
      <c r="F2041" s="14">
        <v>11.604202401664562</v>
      </c>
      <c r="G2041" s="14">
        <v>4.5448155935650068</v>
      </c>
      <c r="H2041" s="14">
        <v>2.4038896039465141</v>
      </c>
      <c r="I2041" s="14">
        <v>1.8768078420202394</v>
      </c>
      <c r="J2041" s="14">
        <v>1.6302051650409557</v>
      </c>
    </row>
    <row r="2042" spans="1:10" ht="15.75" x14ac:dyDescent="0.5">
      <c r="A2042" s="13" t="s">
        <v>346</v>
      </c>
      <c r="B2042" s="13" t="s">
        <v>414</v>
      </c>
      <c r="C2042" s="13" t="s">
        <v>400</v>
      </c>
      <c r="D2042" s="14">
        <v>0.68039077051095009</v>
      </c>
      <c r="E2042" s="14">
        <v>24.086226536243007</v>
      </c>
      <c r="F2042" s="14">
        <v>94.448750398661005</v>
      </c>
      <c r="G2042" s="14">
        <v>188.25262562941941</v>
      </c>
      <c r="H2042" s="14">
        <v>228.01716804547166</v>
      </c>
      <c r="I2042" s="14">
        <v>228.59391493598383</v>
      </c>
      <c r="J2042" s="14">
        <v>229.00587700063591</v>
      </c>
    </row>
    <row r="2043" spans="1:10" ht="15.75" x14ac:dyDescent="0.5">
      <c r="A2043" s="13" t="s">
        <v>346</v>
      </c>
      <c r="B2043" s="13" t="s">
        <v>415</v>
      </c>
      <c r="C2043" s="13" t="s">
        <v>400</v>
      </c>
      <c r="D2043" s="14">
        <v>440.5312448325555</v>
      </c>
      <c r="E2043" s="14">
        <v>864.39425631419022</v>
      </c>
      <c r="F2043" s="14">
        <v>1326.0473262392597</v>
      </c>
      <c r="G2043" s="14">
        <v>1403.3845778487967</v>
      </c>
      <c r="H2043" s="14">
        <v>1497.239837327571</v>
      </c>
      <c r="I2043" s="14">
        <v>1560.627259998103</v>
      </c>
      <c r="J2043" s="14">
        <v>1626.3303861181771</v>
      </c>
    </row>
    <row r="2044" spans="1:10" ht="15.75" x14ac:dyDescent="0.5">
      <c r="A2044" s="13" t="s">
        <v>346</v>
      </c>
      <c r="B2044" s="13" t="s">
        <v>416</v>
      </c>
      <c r="C2044" s="13" t="s">
        <v>400</v>
      </c>
      <c r="D2044" s="14" t="s">
        <v>250</v>
      </c>
      <c r="E2044" s="14">
        <v>54.174742594981005</v>
      </c>
      <c r="F2044" s="14">
        <v>66.675949052097465</v>
      </c>
      <c r="G2044" s="14">
        <v>76.801435170202126</v>
      </c>
      <c r="H2044" s="14">
        <v>77.990654991853646</v>
      </c>
      <c r="I2044" s="14">
        <v>82.683057309487666</v>
      </c>
      <c r="J2044" s="14">
        <v>94.72783748342097</v>
      </c>
    </row>
    <row r="2045" spans="1:10" ht="15.75" x14ac:dyDescent="0.5">
      <c r="A2045" s="13" t="s">
        <v>346</v>
      </c>
      <c r="B2045" s="13" t="s">
        <v>417</v>
      </c>
      <c r="C2045" s="13" t="s">
        <v>400</v>
      </c>
      <c r="D2045" s="14">
        <v>187.48709633408689</v>
      </c>
      <c r="E2045" s="14">
        <v>300.43170755957107</v>
      </c>
      <c r="F2045" s="14">
        <v>344.34952447815982</v>
      </c>
      <c r="G2045" s="14">
        <v>414.31165171596973</v>
      </c>
      <c r="H2045" s="14">
        <v>577.52513151221206</v>
      </c>
      <c r="I2045" s="14">
        <v>756.12363473140545</v>
      </c>
      <c r="J2045" s="14">
        <v>990.84787890235543</v>
      </c>
    </row>
    <row r="2046" spans="1:10" ht="15.75" x14ac:dyDescent="0.5">
      <c r="A2046" s="13" t="s">
        <v>346</v>
      </c>
      <c r="B2046" s="13" t="s">
        <v>418</v>
      </c>
      <c r="C2046" s="13" t="s">
        <v>400</v>
      </c>
      <c r="D2046" s="14">
        <v>3.184175173101953</v>
      </c>
      <c r="E2046" s="14">
        <v>3.1841751731019539</v>
      </c>
      <c r="F2046" s="14">
        <v>3.1841751731019534</v>
      </c>
      <c r="G2046" s="14">
        <v>3.1841751731019534</v>
      </c>
      <c r="H2046" s="14">
        <v>3.1841751731019539</v>
      </c>
      <c r="I2046" s="14">
        <v>3.184175173101953</v>
      </c>
      <c r="J2046" s="14">
        <v>3.1841751731019534</v>
      </c>
    </row>
    <row r="2047" spans="1:10" ht="15.75" x14ac:dyDescent="0.5">
      <c r="A2047" s="13" t="s">
        <v>346</v>
      </c>
      <c r="B2047" s="13" t="s">
        <v>419</v>
      </c>
      <c r="C2047" s="13" t="s">
        <v>400</v>
      </c>
      <c r="D2047" s="14">
        <v>0.54465920264079504</v>
      </c>
      <c r="E2047" s="14">
        <v>8.9301441880424974</v>
      </c>
      <c r="F2047" s="14">
        <v>16.729846075390082</v>
      </c>
      <c r="G2047" s="14">
        <v>17.596148128758994</v>
      </c>
      <c r="H2047" s="14">
        <v>21.683689839632201</v>
      </c>
      <c r="I2047" s="14">
        <v>27.290055651945625</v>
      </c>
      <c r="J2047" s="14">
        <v>49.485488204731986</v>
      </c>
    </row>
    <row r="2048" spans="1:10" ht="15.75" x14ac:dyDescent="0.5">
      <c r="A2048" s="13" t="s">
        <v>346</v>
      </c>
      <c r="B2048" s="13" t="s">
        <v>420</v>
      </c>
      <c r="C2048" s="13" t="s">
        <v>400</v>
      </c>
      <c r="D2048" s="14">
        <v>-13.987252957808384</v>
      </c>
      <c r="E2048" s="14">
        <v>-13.66379903735915</v>
      </c>
      <c r="F2048" s="14">
        <v>-12.656276333541399</v>
      </c>
      <c r="G2048" s="14">
        <v>-11.482020222442836</v>
      </c>
      <c r="H2048" s="14">
        <v>-14.144236169238763</v>
      </c>
      <c r="I2048" s="14">
        <v>-17.125888983445584</v>
      </c>
      <c r="J2048" s="14">
        <v>-18.92444735648138</v>
      </c>
    </row>
    <row r="2049" spans="1:10" ht="15.75" x14ac:dyDescent="0.5">
      <c r="A2049" s="13" t="s">
        <v>347</v>
      </c>
      <c r="B2049" s="13" t="s">
        <v>399</v>
      </c>
      <c r="C2049" s="13" t="s">
        <v>400</v>
      </c>
      <c r="D2049" s="14">
        <v>7.2499064625597898</v>
      </c>
      <c r="E2049" s="14">
        <v>0.29730534306569406</v>
      </c>
      <c r="F2049" s="14">
        <v>0.51246000000000114</v>
      </c>
      <c r="G2049" s="14">
        <v>1.7718840000000033</v>
      </c>
      <c r="H2049" s="14">
        <v>1.8352150072992754</v>
      </c>
      <c r="I2049" s="14">
        <v>0.72845956204379725</v>
      </c>
      <c r="J2049" s="14">
        <v>4.8485221886782073E-2</v>
      </c>
    </row>
    <row r="2050" spans="1:10" ht="15.75" x14ac:dyDescent="0.5">
      <c r="A2050" s="13" t="s">
        <v>347</v>
      </c>
      <c r="B2050" s="13" t="s">
        <v>401</v>
      </c>
      <c r="C2050" s="13" t="s">
        <v>400</v>
      </c>
      <c r="D2050" s="14" t="s">
        <v>250</v>
      </c>
      <c r="E2050" s="14" t="s">
        <v>250</v>
      </c>
      <c r="F2050" s="14">
        <v>83.701695748120983</v>
      </c>
      <c r="G2050" s="14">
        <v>83.701695748120954</v>
      </c>
      <c r="H2050" s="14">
        <v>15.348996652129507</v>
      </c>
      <c r="I2050" s="14">
        <v>13.980690263922606</v>
      </c>
      <c r="J2050" s="14" t="s">
        <v>250</v>
      </c>
    </row>
    <row r="2051" spans="1:10" ht="15.75" x14ac:dyDescent="0.5">
      <c r="A2051" s="13" t="s">
        <v>347</v>
      </c>
      <c r="B2051" s="13" t="s">
        <v>402</v>
      </c>
      <c r="C2051" s="13" t="s">
        <v>400</v>
      </c>
      <c r="D2051" s="14">
        <v>1072.9916742877465</v>
      </c>
      <c r="E2051" s="14">
        <v>279.18868973337908</v>
      </c>
      <c r="F2051" s="14">
        <v>149.92047110803327</v>
      </c>
      <c r="G2051" s="14">
        <v>142.64166381802517</v>
      </c>
      <c r="H2051" s="14">
        <v>139.80707803474431</v>
      </c>
      <c r="I2051" s="14">
        <v>116.15078776064186</v>
      </c>
      <c r="J2051" s="14">
        <v>96.879303628799292</v>
      </c>
    </row>
    <row r="2052" spans="1:10" ht="15.75" x14ac:dyDescent="0.5">
      <c r="A2052" s="13" t="s">
        <v>347</v>
      </c>
      <c r="B2052" s="13" t="s">
        <v>403</v>
      </c>
      <c r="C2052" s="13" t="s">
        <v>400</v>
      </c>
      <c r="D2052" s="14" t="s">
        <v>250</v>
      </c>
      <c r="E2052" s="14" t="s">
        <v>250</v>
      </c>
      <c r="F2052" s="14">
        <v>38.57377416010528</v>
      </c>
      <c r="G2052" s="14">
        <v>38.573774160105273</v>
      </c>
      <c r="H2052" s="14">
        <v>7.7793600458752428</v>
      </c>
      <c r="I2052" s="14">
        <v>7.7793600458752241</v>
      </c>
      <c r="J2052" s="14" t="s">
        <v>250</v>
      </c>
    </row>
    <row r="2053" spans="1:10" ht="15.75" x14ac:dyDescent="0.5">
      <c r="A2053" s="13" t="s">
        <v>347</v>
      </c>
      <c r="B2053" s="13" t="s">
        <v>404</v>
      </c>
      <c r="C2053" s="13" t="s">
        <v>400</v>
      </c>
      <c r="D2053" s="14" t="s">
        <v>250</v>
      </c>
      <c r="E2053" s="14" t="s">
        <v>250</v>
      </c>
      <c r="F2053" s="14" t="s">
        <v>250</v>
      </c>
      <c r="G2053" s="14" t="s">
        <v>250</v>
      </c>
      <c r="H2053" s="14" t="s">
        <v>250</v>
      </c>
      <c r="I2053" s="14">
        <v>0.33069896914528535</v>
      </c>
      <c r="J2053" s="14">
        <v>0.33069896914528535</v>
      </c>
    </row>
    <row r="2054" spans="1:10" ht="15.75" x14ac:dyDescent="0.5">
      <c r="A2054" s="13" t="s">
        <v>347</v>
      </c>
      <c r="B2054" s="13" t="s">
        <v>421</v>
      </c>
      <c r="C2054" s="13" t="s">
        <v>400</v>
      </c>
      <c r="D2054" s="14" t="s">
        <v>250</v>
      </c>
      <c r="E2054" s="14" t="s">
        <v>250</v>
      </c>
      <c r="F2054" s="14" t="s">
        <v>250</v>
      </c>
      <c r="G2054" s="14">
        <v>29.660305976726789</v>
      </c>
      <c r="H2054" s="14">
        <v>79.957650676534485</v>
      </c>
      <c r="I2054" s="14">
        <v>79.961475394402896</v>
      </c>
      <c r="J2054" s="14">
        <v>27.584714571558294</v>
      </c>
    </row>
    <row r="2055" spans="1:10" ht="15.75" x14ac:dyDescent="0.5">
      <c r="A2055" s="13" t="s">
        <v>347</v>
      </c>
      <c r="B2055" s="13" t="s">
        <v>405</v>
      </c>
      <c r="C2055" s="13" t="s">
        <v>400</v>
      </c>
      <c r="D2055" s="14">
        <v>1259.3891290889953</v>
      </c>
      <c r="E2055" s="14">
        <v>1473.6489311878531</v>
      </c>
      <c r="F2055" s="14">
        <v>1663.9549009441143</v>
      </c>
      <c r="G2055" s="14">
        <v>2329.2794553194312</v>
      </c>
      <c r="H2055" s="14">
        <v>3198.4494740068403</v>
      </c>
      <c r="I2055" s="14">
        <v>3801.9906032927925</v>
      </c>
      <c r="J2055" s="14">
        <v>4176.2048182163335</v>
      </c>
    </row>
    <row r="2056" spans="1:10" ht="15.75" x14ac:dyDescent="0.5">
      <c r="A2056" s="13" t="s">
        <v>347</v>
      </c>
      <c r="B2056" s="13" t="s">
        <v>406</v>
      </c>
      <c r="C2056" s="13" t="s">
        <v>400</v>
      </c>
      <c r="D2056" s="14">
        <v>23.479196814299343</v>
      </c>
      <c r="E2056" s="14">
        <v>29.687652418746691</v>
      </c>
      <c r="F2056" s="14">
        <v>42.98222804897464</v>
      </c>
      <c r="G2056" s="14">
        <v>43.289206848988599</v>
      </c>
      <c r="H2056" s="14">
        <v>44.268299395986645</v>
      </c>
      <c r="I2056" s="14">
        <v>45.527245229930223</v>
      </c>
      <c r="J2056" s="14">
        <v>45.360938143948928</v>
      </c>
    </row>
    <row r="2057" spans="1:10" ht="15.75" x14ac:dyDescent="0.5">
      <c r="A2057" s="13" t="s">
        <v>347</v>
      </c>
      <c r="B2057" s="13" t="s">
        <v>407</v>
      </c>
      <c r="C2057" s="13" t="s">
        <v>400</v>
      </c>
      <c r="D2057" s="14" t="s">
        <v>250</v>
      </c>
      <c r="E2057" s="14">
        <v>99.659944035212604</v>
      </c>
      <c r="F2057" s="14">
        <v>45.055226732245707</v>
      </c>
      <c r="G2057" s="14">
        <v>117.60687745774676</v>
      </c>
      <c r="H2057" s="14">
        <v>105.79049631884419</v>
      </c>
      <c r="I2057" s="14">
        <v>111.57267025359829</v>
      </c>
      <c r="J2057" s="14">
        <v>72.261486532512322</v>
      </c>
    </row>
    <row r="2058" spans="1:10" ht="15.75" x14ac:dyDescent="0.5">
      <c r="A2058" s="13" t="s">
        <v>347</v>
      </c>
      <c r="B2058" s="13" t="s">
        <v>408</v>
      </c>
      <c r="C2058" s="13" t="s">
        <v>400</v>
      </c>
      <c r="D2058" s="14">
        <v>46.892290321001241</v>
      </c>
      <c r="E2058" s="14">
        <v>30.161148038669818</v>
      </c>
      <c r="F2058" s="14">
        <v>22.773766287288446</v>
      </c>
      <c r="G2058" s="14">
        <v>26.892999108748331</v>
      </c>
      <c r="H2058" s="14">
        <v>30.18342705284018</v>
      </c>
      <c r="I2058" s="14">
        <v>27.099855052254931</v>
      </c>
      <c r="J2058" s="14">
        <v>27.867447240875972</v>
      </c>
    </row>
    <row r="2059" spans="1:10" ht="15.75" x14ac:dyDescent="0.5">
      <c r="A2059" s="13" t="s">
        <v>347</v>
      </c>
      <c r="B2059" s="13" t="s">
        <v>409</v>
      </c>
      <c r="C2059" s="13" t="s">
        <v>400</v>
      </c>
      <c r="D2059" s="14">
        <v>18.365704270000034</v>
      </c>
      <c r="E2059" s="14">
        <v>18.36570427000003</v>
      </c>
      <c r="F2059" s="14">
        <v>18.36570427000003</v>
      </c>
      <c r="G2059" s="14">
        <v>18.365704270000034</v>
      </c>
      <c r="H2059" s="14">
        <v>18.365704270000034</v>
      </c>
      <c r="I2059" s="14">
        <v>18.36570427000003</v>
      </c>
      <c r="J2059" s="14">
        <v>18.365704270000034</v>
      </c>
    </row>
    <row r="2060" spans="1:10" ht="15.75" x14ac:dyDescent="0.5">
      <c r="A2060" s="13" t="s">
        <v>347</v>
      </c>
      <c r="B2060" s="13" t="s">
        <v>410</v>
      </c>
      <c r="C2060" s="13" t="s">
        <v>400</v>
      </c>
      <c r="D2060" s="14">
        <v>245.79356253202212</v>
      </c>
      <c r="E2060" s="14">
        <v>244.5455220265591</v>
      </c>
      <c r="F2060" s="14">
        <v>245.73507760629735</v>
      </c>
      <c r="G2060" s="14">
        <v>246.03214928715488</v>
      </c>
      <c r="H2060" s="14">
        <v>246.16997594139102</v>
      </c>
      <c r="I2060" s="14">
        <v>246.16953280241293</v>
      </c>
      <c r="J2060" s="14">
        <v>246.16997594139104</v>
      </c>
    </row>
    <row r="2061" spans="1:10" ht="15.75" x14ac:dyDescent="0.5">
      <c r="A2061" s="13" t="s">
        <v>347</v>
      </c>
      <c r="B2061" s="13" t="s">
        <v>411</v>
      </c>
      <c r="C2061" s="13" t="s">
        <v>400</v>
      </c>
      <c r="D2061" s="14">
        <v>7.1394000000000153</v>
      </c>
      <c r="E2061" s="14">
        <v>3.5593489051094984</v>
      </c>
      <c r="F2061" s="14" t="s">
        <v>250</v>
      </c>
      <c r="G2061" s="14" t="s">
        <v>250</v>
      </c>
      <c r="H2061" s="14" t="s">
        <v>250</v>
      </c>
      <c r="I2061" s="14" t="s">
        <v>250</v>
      </c>
      <c r="J2061" s="14" t="s">
        <v>250</v>
      </c>
    </row>
    <row r="2062" spans="1:10" ht="15.75" x14ac:dyDescent="0.5">
      <c r="A2062" s="13" t="s">
        <v>347</v>
      </c>
      <c r="B2062" s="13" t="s">
        <v>412</v>
      </c>
      <c r="C2062" s="13" t="s">
        <v>400</v>
      </c>
      <c r="D2062" s="14">
        <v>760.72545968400175</v>
      </c>
      <c r="E2062" s="14">
        <v>751.0278937872456</v>
      </c>
      <c r="F2062" s="14">
        <v>570.9310939346816</v>
      </c>
      <c r="G2062" s="14">
        <v>683.68440640607537</v>
      </c>
      <c r="H2062" s="14">
        <v>869.22796200160178</v>
      </c>
      <c r="I2062" s="14">
        <v>1039.734643341284</v>
      </c>
      <c r="J2062" s="14">
        <v>1155.537308104475</v>
      </c>
    </row>
    <row r="2063" spans="1:10" ht="15.75" x14ac:dyDescent="0.5">
      <c r="A2063" s="13" t="s">
        <v>347</v>
      </c>
      <c r="B2063" s="13" t="s">
        <v>413</v>
      </c>
      <c r="C2063" s="13" t="s">
        <v>400</v>
      </c>
      <c r="D2063" s="14">
        <v>23.702927619886133</v>
      </c>
      <c r="E2063" s="14">
        <v>28.417065326087823</v>
      </c>
      <c r="F2063" s="14">
        <v>11.197457092876952</v>
      </c>
      <c r="G2063" s="14">
        <v>4.7141242563096615</v>
      </c>
      <c r="H2063" s="14">
        <v>2.5083015588349395</v>
      </c>
      <c r="I2063" s="14">
        <v>1.9103366696698758</v>
      </c>
      <c r="J2063" s="14">
        <v>1.6515842124930891</v>
      </c>
    </row>
    <row r="2064" spans="1:10" ht="15.75" x14ac:dyDescent="0.5">
      <c r="A2064" s="13" t="s">
        <v>347</v>
      </c>
      <c r="B2064" s="13" t="s">
        <v>414</v>
      </c>
      <c r="C2064" s="13" t="s">
        <v>400</v>
      </c>
      <c r="D2064" s="14">
        <v>0.68039077051095032</v>
      </c>
      <c r="E2064" s="14">
        <v>24.08015373135494</v>
      </c>
      <c r="F2064" s="14">
        <v>94.460505078170456</v>
      </c>
      <c r="G2064" s="14">
        <v>188.33459681986895</v>
      </c>
      <c r="H2064" s="14">
        <v>228.10811965274621</v>
      </c>
      <c r="I2064" s="14">
        <v>228.68513165308605</v>
      </c>
      <c r="J2064" s="14">
        <v>229.09728308190063</v>
      </c>
    </row>
    <row r="2065" spans="1:10" ht="15.75" x14ac:dyDescent="0.5">
      <c r="A2065" s="13" t="s">
        <v>347</v>
      </c>
      <c r="B2065" s="13" t="s">
        <v>415</v>
      </c>
      <c r="C2065" s="13" t="s">
        <v>400</v>
      </c>
      <c r="D2065" s="14">
        <v>440.53124483255567</v>
      </c>
      <c r="E2065" s="14">
        <v>864.13934000597351</v>
      </c>
      <c r="F2065" s="14">
        <v>1318.215752828838</v>
      </c>
      <c r="G2065" s="14">
        <v>1366.4366765355496</v>
      </c>
      <c r="H2065" s="14">
        <v>1427.1424397703972</v>
      </c>
      <c r="I2065" s="14">
        <v>1464.1218930431662</v>
      </c>
      <c r="J2065" s="14">
        <v>1481.9271855930829</v>
      </c>
    </row>
    <row r="2066" spans="1:10" ht="15.75" x14ac:dyDescent="0.5">
      <c r="A2066" s="13" t="s">
        <v>347</v>
      </c>
      <c r="B2066" s="13" t="s">
        <v>416</v>
      </c>
      <c r="C2066" s="13" t="s">
        <v>400</v>
      </c>
      <c r="D2066" s="14" t="s">
        <v>250</v>
      </c>
      <c r="E2066" s="14">
        <v>54.174742594980998</v>
      </c>
      <c r="F2066" s="14">
        <v>66.675949052097479</v>
      </c>
      <c r="G2066" s="14">
        <v>76.801435170202168</v>
      </c>
      <c r="H2066" s="14">
        <v>77.990654991853717</v>
      </c>
      <c r="I2066" s="14">
        <v>82.683057309487651</v>
      </c>
      <c r="J2066" s="14">
        <v>94.727837483420956</v>
      </c>
    </row>
    <row r="2067" spans="1:10" ht="15.75" x14ac:dyDescent="0.5">
      <c r="A2067" s="13" t="s">
        <v>347</v>
      </c>
      <c r="B2067" s="13" t="s">
        <v>417</v>
      </c>
      <c r="C2067" s="13" t="s">
        <v>400</v>
      </c>
      <c r="D2067" s="14">
        <v>187.48709633408697</v>
      </c>
      <c r="E2067" s="14">
        <v>300.42240066202442</v>
      </c>
      <c r="F2067" s="14">
        <v>344.36344113436695</v>
      </c>
      <c r="G2067" s="14">
        <v>381.84967190500669</v>
      </c>
      <c r="H2067" s="14">
        <v>450.74641847640032</v>
      </c>
      <c r="I2067" s="14">
        <v>564.9681696156905</v>
      </c>
      <c r="J2067" s="14">
        <v>763.12168223381832</v>
      </c>
    </row>
    <row r="2068" spans="1:10" ht="15.75" x14ac:dyDescent="0.5">
      <c r="A2068" s="13" t="s">
        <v>347</v>
      </c>
      <c r="B2068" s="13" t="s">
        <v>418</v>
      </c>
      <c r="C2068" s="13" t="s">
        <v>400</v>
      </c>
      <c r="D2068" s="14">
        <v>3.184175173101953</v>
      </c>
      <c r="E2068" s="14">
        <v>3.1841751731019534</v>
      </c>
      <c r="F2068" s="14">
        <v>3.1841751731019539</v>
      </c>
      <c r="G2068" s="14">
        <v>3.184175173101953</v>
      </c>
      <c r="H2068" s="14">
        <v>3.184175173101953</v>
      </c>
      <c r="I2068" s="14">
        <v>3.1841751731019534</v>
      </c>
      <c r="J2068" s="14">
        <v>3.1841751731019539</v>
      </c>
    </row>
    <row r="2069" spans="1:10" ht="15.75" x14ac:dyDescent="0.5">
      <c r="A2069" s="13" t="s">
        <v>347</v>
      </c>
      <c r="B2069" s="13" t="s">
        <v>419</v>
      </c>
      <c r="C2069" s="13" t="s">
        <v>400</v>
      </c>
      <c r="D2069" s="14">
        <v>0.54465920264079504</v>
      </c>
      <c r="E2069" s="14">
        <v>9.0148512368328397</v>
      </c>
      <c r="F2069" s="14">
        <v>16.724133814883999</v>
      </c>
      <c r="G2069" s="14">
        <v>17.891625970132559</v>
      </c>
      <c r="H2069" s="14">
        <v>19.67035549589859</v>
      </c>
      <c r="I2069" s="14">
        <v>14.299601321162244</v>
      </c>
      <c r="J2069" s="14">
        <v>32.505560801931523</v>
      </c>
    </row>
    <row r="2070" spans="1:10" ht="15.75" x14ac:dyDescent="0.5">
      <c r="A2070" s="13" t="s">
        <v>347</v>
      </c>
      <c r="B2070" s="13" t="s">
        <v>420</v>
      </c>
      <c r="C2070" s="13" t="s">
        <v>400</v>
      </c>
      <c r="D2070" s="14">
        <v>-13.9872529578084</v>
      </c>
      <c r="E2070" s="14">
        <v>-13.749134106926508</v>
      </c>
      <c r="F2070" s="14">
        <v>-13.082895447766901</v>
      </c>
      <c r="G2070" s="14">
        <v>-11.927380387477372</v>
      </c>
      <c r="H2070" s="14">
        <v>-13.918065274559265</v>
      </c>
      <c r="I2070" s="14">
        <v>-16.491981065765899</v>
      </c>
      <c r="J2070" s="14">
        <v>-17.956374533463212</v>
      </c>
    </row>
    <row r="2071" spans="1:10" ht="15.75" x14ac:dyDescent="0.5">
      <c r="A2071" s="13" t="s">
        <v>348</v>
      </c>
      <c r="B2071" s="13" t="s">
        <v>399</v>
      </c>
      <c r="C2071" s="13" t="s">
        <v>400</v>
      </c>
      <c r="D2071" s="14">
        <v>7.2499064625597898</v>
      </c>
      <c r="E2071" s="14">
        <v>4.2389343065693544E-2</v>
      </c>
      <c r="F2071" s="14">
        <v>0.51246000000000103</v>
      </c>
      <c r="G2071" s="14">
        <v>1.3043664388852338</v>
      </c>
      <c r="H2071" s="14">
        <v>2.9657728467153355</v>
      </c>
      <c r="I2071" s="14">
        <v>1.4651023604089717</v>
      </c>
      <c r="J2071" s="14">
        <v>0.91778745237618009</v>
      </c>
    </row>
    <row r="2072" spans="1:10" ht="15.75" x14ac:dyDescent="0.5">
      <c r="A2072" s="13" t="s">
        <v>348</v>
      </c>
      <c r="B2072" s="13" t="s">
        <v>401</v>
      </c>
      <c r="C2072" s="13" t="s">
        <v>400</v>
      </c>
      <c r="D2072" s="14" t="s">
        <v>250</v>
      </c>
      <c r="E2072" s="14" t="s">
        <v>250</v>
      </c>
      <c r="F2072" s="14">
        <v>82.358561222712481</v>
      </c>
      <c r="G2072" s="14">
        <v>82.358561222712495</v>
      </c>
      <c r="H2072" s="14">
        <v>7.1070897752855675</v>
      </c>
      <c r="I2072" s="14">
        <v>6.3290600398068939</v>
      </c>
      <c r="J2072" s="14" t="s">
        <v>250</v>
      </c>
    </row>
    <row r="2073" spans="1:10" ht="15.75" x14ac:dyDescent="0.5">
      <c r="A2073" s="13" t="s">
        <v>348</v>
      </c>
      <c r="B2073" s="13" t="s">
        <v>402</v>
      </c>
      <c r="C2073" s="13" t="s">
        <v>400</v>
      </c>
      <c r="D2073" s="14">
        <v>1072.9916742877458</v>
      </c>
      <c r="E2073" s="14">
        <v>280.65855933111288</v>
      </c>
      <c r="F2073" s="14">
        <v>153.51023567818234</v>
      </c>
      <c r="G2073" s="14">
        <v>144.25731297741333</v>
      </c>
      <c r="H2073" s="14">
        <v>124.68290084222329</v>
      </c>
      <c r="I2073" s="14">
        <v>115.43290443704511</v>
      </c>
      <c r="J2073" s="14">
        <v>104.93746149825068</v>
      </c>
    </row>
    <row r="2074" spans="1:10" ht="15.75" x14ac:dyDescent="0.5">
      <c r="A2074" s="13" t="s">
        <v>348</v>
      </c>
      <c r="B2074" s="13" t="s">
        <v>403</v>
      </c>
      <c r="C2074" s="13" t="s">
        <v>400</v>
      </c>
      <c r="D2074" s="14" t="s">
        <v>250</v>
      </c>
      <c r="E2074" s="14" t="s">
        <v>250</v>
      </c>
      <c r="F2074" s="14">
        <v>28.825504146225001</v>
      </c>
      <c r="G2074" s="14">
        <v>28.825504146224997</v>
      </c>
      <c r="H2074" s="14">
        <v>5.8229068189169286</v>
      </c>
      <c r="I2074" s="14">
        <v>5.8229068189169269</v>
      </c>
      <c r="J2074" s="14" t="s">
        <v>250</v>
      </c>
    </row>
    <row r="2075" spans="1:10" ht="15.75" x14ac:dyDescent="0.5">
      <c r="A2075" s="13" t="s">
        <v>348</v>
      </c>
      <c r="B2075" s="13" t="s">
        <v>404</v>
      </c>
      <c r="C2075" s="13" t="s">
        <v>400</v>
      </c>
      <c r="D2075" s="14" t="s">
        <v>250</v>
      </c>
      <c r="E2075" s="14" t="s">
        <v>250</v>
      </c>
      <c r="F2075" s="14" t="s">
        <v>250</v>
      </c>
      <c r="G2075" s="14" t="s">
        <v>250</v>
      </c>
      <c r="H2075" s="14" t="s">
        <v>250</v>
      </c>
      <c r="I2075" s="14">
        <v>0.33069896914528535</v>
      </c>
      <c r="J2075" s="14">
        <v>0.33069896914528535</v>
      </c>
    </row>
    <row r="2076" spans="1:10" ht="15.75" x14ac:dyDescent="0.5">
      <c r="A2076" s="13" t="s">
        <v>348</v>
      </c>
      <c r="B2076" s="13" t="s">
        <v>421</v>
      </c>
      <c r="C2076" s="13" t="s">
        <v>400</v>
      </c>
      <c r="D2076" s="14" t="s">
        <v>250</v>
      </c>
      <c r="E2076" s="14" t="s">
        <v>250</v>
      </c>
      <c r="F2076" s="14" t="s">
        <v>250</v>
      </c>
      <c r="G2076" s="14">
        <v>770.41079644581976</v>
      </c>
      <c r="H2076" s="14">
        <v>2075.3529001155916</v>
      </c>
      <c r="I2076" s="14">
        <v>2064.0314344449548</v>
      </c>
      <c r="J2076" s="14">
        <v>350.51595430450823</v>
      </c>
    </row>
    <row r="2077" spans="1:10" ht="15.75" x14ac:dyDescent="0.5">
      <c r="A2077" s="13" t="s">
        <v>348</v>
      </c>
      <c r="B2077" s="13" t="s">
        <v>405</v>
      </c>
      <c r="C2077" s="13" t="s">
        <v>400</v>
      </c>
      <c r="D2077" s="14">
        <v>1259.3891290889951</v>
      </c>
      <c r="E2077" s="14">
        <v>1480.6167808548107</v>
      </c>
      <c r="F2077" s="14">
        <v>1667.9738408460335</v>
      </c>
      <c r="G2077" s="14">
        <v>1617.486062027144</v>
      </c>
      <c r="H2077" s="14">
        <v>1308.2946908930112</v>
      </c>
      <c r="I2077" s="14">
        <v>1955.547562422817</v>
      </c>
      <c r="J2077" s="14">
        <v>3967.0718415591837</v>
      </c>
    </row>
    <row r="2078" spans="1:10" ht="15.75" x14ac:dyDescent="0.5">
      <c r="A2078" s="13" t="s">
        <v>348</v>
      </c>
      <c r="B2078" s="13" t="s">
        <v>406</v>
      </c>
      <c r="C2078" s="13" t="s">
        <v>400</v>
      </c>
      <c r="D2078" s="14">
        <v>23.479196814299325</v>
      </c>
      <c r="E2078" s="14">
        <v>29.373032191269317</v>
      </c>
      <c r="F2078" s="14">
        <v>43.046378951596232</v>
      </c>
      <c r="G2078" s="14">
        <v>43.23686977905551</v>
      </c>
      <c r="H2078" s="14">
        <v>43.805332197977009</v>
      </c>
      <c r="I2078" s="14">
        <v>45.733226484573443</v>
      </c>
      <c r="J2078" s="14">
        <v>43.597945977900245</v>
      </c>
    </row>
    <row r="2079" spans="1:10" ht="15.75" x14ac:dyDescent="0.5">
      <c r="A2079" s="13" t="s">
        <v>348</v>
      </c>
      <c r="B2079" s="13" t="s">
        <v>407</v>
      </c>
      <c r="C2079" s="13" t="s">
        <v>400</v>
      </c>
      <c r="D2079" s="14" t="s">
        <v>250</v>
      </c>
      <c r="E2079" s="14">
        <v>98.503532931388435</v>
      </c>
      <c r="F2079" s="14">
        <v>61.65476756551756</v>
      </c>
      <c r="G2079" s="14">
        <v>121.57503300825857</v>
      </c>
      <c r="H2079" s="14">
        <v>125.80945156320637</v>
      </c>
      <c r="I2079" s="14">
        <v>154.64467988131454</v>
      </c>
      <c r="J2079" s="14">
        <v>101.11908578384696</v>
      </c>
    </row>
    <row r="2080" spans="1:10" ht="15.75" x14ac:dyDescent="0.5">
      <c r="A2080" s="13" t="s">
        <v>348</v>
      </c>
      <c r="B2080" s="13" t="s">
        <v>408</v>
      </c>
      <c r="C2080" s="13" t="s">
        <v>400</v>
      </c>
      <c r="D2080" s="14">
        <v>46.892290321001234</v>
      </c>
      <c r="E2080" s="14">
        <v>30.119200931538526</v>
      </c>
      <c r="F2080" s="14">
        <v>23.098187298326142</v>
      </c>
      <c r="G2080" s="14">
        <v>27.860881920878679</v>
      </c>
      <c r="H2080" s="14">
        <v>24.588824364387698</v>
      </c>
      <c r="I2080" s="14">
        <v>26.997840560534282</v>
      </c>
      <c r="J2080" s="14">
        <v>34.241684236619399</v>
      </c>
    </row>
    <row r="2081" spans="1:10" ht="15.75" x14ac:dyDescent="0.5">
      <c r="A2081" s="13" t="s">
        <v>348</v>
      </c>
      <c r="B2081" s="13" t="s">
        <v>409</v>
      </c>
      <c r="C2081" s="13" t="s">
        <v>400</v>
      </c>
      <c r="D2081" s="14">
        <v>18.365704270000034</v>
      </c>
      <c r="E2081" s="14">
        <v>18.365704270000034</v>
      </c>
      <c r="F2081" s="14">
        <v>18.36570427000003</v>
      </c>
      <c r="G2081" s="14">
        <v>18.36570427000003</v>
      </c>
      <c r="H2081" s="14">
        <v>18.365704270000034</v>
      </c>
      <c r="I2081" s="14">
        <v>18.365704270000034</v>
      </c>
      <c r="J2081" s="14">
        <v>18.365704270000034</v>
      </c>
    </row>
    <row r="2082" spans="1:10" ht="15.75" x14ac:dyDescent="0.5">
      <c r="A2082" s="13" t="s">
        <v>348</v>
      </c>
      <c r="B2082" s="13" t="s">
        <v>410</v>
      </c>
      <c r="C2082" s="13" t="s">
        <v>400</v>
      </c>
      <c r="D2082" s="14">
        <v>245.79356253202212</v>
      </c>
      <c r="E2082" s="14">
        <v>244.55527851193608</v>
      </c>
      <c r="F2082" s="14">
        <v>245.78848925926786</v>
      </c>
      <c r="G2082" s="14">
        <v>245.97239854939281</v>
      </c>
      <c r="H2082" s="14">
        <v>246.16997594139133</v>
      </c>
      <c r="I2082" s="14">
        <v>246.16997594139062</v>
      </c>
      <c r="J2082" s="14">
        <v>246.1699759413911</v>
      </c>
    </row>
    <row r="2083" spans="1:10" ht="15.75" x14ac:dyDescent="0.5">
      <c r="A2083" s="13" t="s">
        <v>348</v>
      </c>
      <c r="B2083" s="13" t="s">
        <v>411</v>
      </c>
      <c r="C2083" s="13" t="s">
        <v>400</v>
      </c>
      <c r="D2083" s="14">
        <v>7.1394000000000171</v>
      </c>
      <c r="E2083" s="14">
        <v>3.5593489051094984</v>
      </c>
      <c r="F2083" s="14" t="s">
        <v>250</v>
      </c>
      <c r="G2083" s="14" t="s">
        <v>250</v>
      </c>
      <c r="H2083" s="14" t="s">
        <v>250</v>
      </c>
      <c r="I2083" s="14" t="s">
        <v>250</v>
      </c>
      <c r="J2083" s="14" t="s">
        <v>250</v>
      </c>
    </row>
    <row r="2084" spans="1:10" ht="15.75" x14ac:dyDescent="0.5">
      <c r="A2084" s="13" t="s">
        <v>348</v>
      </c>
      <c r="B2084" s="13" t="s">
        <v>412</v>
      </c>
      <c r="C2084" s="13" t="s">
        <v>400</v>
      </c>
      <c r="D2084" s="14">
        <v>760.72545968400175</v>
      </c>
      <c r="E2084" s="14">
        <v>744.73333406344784</v>
      </c>
      <c r="F2084" s="14">
        <v>546.17167972811512</v>
      </c>
      <c r="G2084" s="14">
        <v>590.81013969737455</v>
      </c>
      <c r="H2084" s="14">
        <v>592.94223471272687</v>
      </c>
      <c r="I2084" s="14">
        <v>592.94223471272699</v>
      </c>
      <c r="J2084" s="14">
        <v>563.17050825763624</v>
      </c>
    </row>
    <row r="2085" spans="1:10" ht="15.75" x14ac:dyDescent="0.5">
      <c r="A2085" s="13" t="s">
        <v>348</v>
      </c>
      <c r="B2085" s="13" t="s">
        <v>413</v>
      </c>
      <c r="C2085" s="13" t="s">
        <v>400</v>
      </c>
      <c r="D2085" s="14">
        <v>23.70292761988614</v>
      </c>
      <c r="E2085" s="14">
        <v>27.977084561755454</v>
      </c>
      <c r="F2085" s="14">
        <v>11.728569291489737</v>
      </c>
      <c r="G2085" s="14">
        <v>4.665956987420147</v>
      </c>
      <c r="H2085" s="14">
        <v>2.4487923456263405</v>
      </c>
      <c r="I2085" s="14">
        <v>1.9567623944335923</v>
      </c>
      <c r="J2085" s="14">
        <v>1.4596960761011073</v>
      </c>
    </row>
    <row r="2086" spans="1:10" ht="15.75" x14ac:dyDescent="0.5">
      <c r="A2086" s="13" t="s">
        <v>348</v>
      </c>
      <c r="B2086" s="13" t="s">
        <v>414</v>
      </c>
      <c r="C2086" s="13" t="s">
        <v>400</v>
      </c>
      <c r="D2086" s="14">
        <v>0.68039077051095009</v>
      </c>
      <c r="E2086" s="14">
        <v>24.086226536243007</v>
      </c>
      <c r="F2086" s="14">
        <v>94.452588384313657</v>
      </c>
      <c r="G2086" s="14">
        <v>188.25858394959641</v>
      </c>
      <c r="H2086" s="14">
        <v>228.01553878776909</v>
      </c>
      <c r="I2086" s="14">
        <v>228.59228092924775</v>
      </c>
      <c r="J2086" s="14">
        <v>229.00423960173302</v>
      </c>
    </row>
    <row r="2087" spans="1:10" ht="15.75" x14ac:dyDescent="0.5">
      <c r="A2087" s="13" t="s">
        <v>348</v>
      </c>
      <c r="B2087" s="13" t="s">
        <v>415</v>
      </c>
      <c r="C2087" s="13" t="s">
        <v>400</v>
      </c>
      <c r="D2087" s="14">
        <v>440.53124483255556</v>
      </c>
      <c r="E2087" s="14">
        <v>864.39425631419067</v>
      </c>
      <c r="F2087" s="14">
        <v>1325.8663577684038</v>
      </c>
      <c r="G2087" s="14">
        <v>1408.8877442815751</v>
      </c>
      <c r="H2087" s="14">
        <v>1511.5266762036072</v>
      </c>
      <c r="I2087" s="14">
        <v>1577.723649530534</v>
      </c>
      <c r="J2087" s="14">
        <v>1675.1902464609998</v>
      </c>
    </row>
    <row r="2088" spans="1:10" ht="15.75" x14ac:dyDescent="0.5">
      <c r="A2088" s="13" t="s">
        <v>348</v>
      </c>
      <c r="B2088" s="13" t="s">
        <v>416</v>
      </c>
      <c r="C2088" s="13" t="s">
        <v>400</v>
      </c>
      <c r="D2088" s="14" t="s">
        <v>250</v>
      </c>
      <c r="E2088" s="14">
        <v>54.174742594980984</v>
      </c>
      <c r="F2088" s="14">
        <v>66.675949052097465</v>
      </c>
      <c r="G2088" s="14">
        <v>76.801435170202126</v>
      </c>
      <c r="H2088" s="14">
        <v>77.990654991853731</v>
      </c>
      <c r="I2088" s="14">
        <v>82.683057309487609</v>
      </c>
      <c r="J2088" s="14">
        <v>94.727837483420984</v>
      </c>
    </row>
    <row r="2089" spans="1:10" ht="15.75" x14ac:dyDescent="0.5">
      <c r="A2089" s="13" t="s">
        <v>348</v>
      </c>
      <c r="B2089" s="13" t="s">
        <v>417</v>
      </c>
      <c r="C2089" s="13" t="s">
        <v>400</v>
      </c>
      <c r="D2089" s="14">
        <v>187.48709633408686</v>
      </c>
      <c r="E2089" s="14">
        <v>300.46762241003188</v>
      </c>
      <c r="F2089" s="14">
        <v>344.05202152138469</v>
      </c>
      <c r="G2089" s="14">
        <v>410.3808487275885</v>
      </c>
      <c r="H2089" s="14">
        <v>564.80288050784202</v>
      </c>
      <c r="I2089" s="14">
        <v>756.64838878317255</v>
      </c>
      <c r="J2089" s="14">
        <v>1065.4750531500788</v>
      </c>
    </row>
    <row r="2090" spans="1:10" ht="15.75" x14ac:dyDescent="0.5">
      <c r="A2090" s="13" t="s">
        <v>348</v>
      </c>
      <c r="B2090" s="13" t="s">
        <v>418</v>
      </c>
      <c r="C2090" s="13" t="s">
        <v>400</v>
      </c>
      <c r="D2090" s="14">
        <v>3.1841751731019534</v>
      </c>
      <c r="E2090" s="14">
        <v>3.1841751731019539</v>
      </c>
      <c r="F2090" s="14">
        <v>3.184175173101953</v>
      </c>
      <c r="G2090" s="14">
        <v>3.1841751731019534</v>
      </c>
      <c r="H2090" s="14">
        <v>3.1841751731019534</v>
      </c>
      <c r="I2090" s="14">
        <v>3.184175173101953</v>
      </c>
      <c r="J2090" s="14">
        <v>3.1841751731019534</v>
      </c>
    </row>
    <row r="2091" spans="1:10" ht="15.75" x14ac:dyDescent="0.5">
      <c r="A2091" s="13" t="s">
        <v>348</v>
      </c>
      <c r="B2091" s="13" t="s">
        <v>419</v>
      </c>
      <c r="C2091" s="13" t="s">
        <v>400</v>
      </c>
      <c r="D2091" s="14">
        <v>0.54465920264079504</v>
      </c>
      <c r="E2091" s="14">
        <v>8.7317476439619028</v>
      </c>
      <c r="F2091" s="14">
        <v>16.830357674926866</v>
      </c>
      <c r="G2091" s="14">
        <v>18.724681444249427</v>
      </c>
      <c r="H2091" s="14">
        <v>23.841208457248406</v>
      </c>
      <c r="I2091" s="14">
        <v>26.968916653870146</v>
      </c>
      <c r="J2091" s="14">
        <v>43.423168270197507</v>
      </c>
    </row>
    <row r="2092" spans="1:10" ht="15.75" x14ac:dyDescent="0.5">
      <c r="A2092" s="13" t="s">
        <v>348</v>
      </c>
      <c r="B2092" s="13" t="s">
        <v>420</v>
      </c>
      <c r="C2092" s="13" t="s">
        <v>400</v>
      </c>
      <c r="D2092" s="14">
        <v>-13.987252957808355</v>
      </c>
      <c r="E2092" s="14">
        <v>-13.61239861554537</v>
      </c>
      <c r="F2092" s="14">
        <v>-13.095900599954215</v>
      </c>
      <c r="G2092" s="14">
        <v>-11.644306568673612</v>
      </c>
      <c r="H2092" s="14">
        <v>-16.167531667712613</v>
      </c>
      <c r="I2092" s="14">
        <v>-16.834470487573643</v>
      </c>
      <c r="J2092" s="14">
        <v>-18.085633077738898</v>
      </c>
    </row>
    <row r="2093" spans="1:10" ht="15.75" x14ac:dyDescent="0.5">
      <c r="A2093" s="13" t="s">
        <v>349</v>
      </c>
      <c r="B2093" s="13" t="s">
        <v>399</v>
      </c>
      <c r="C2093" s="13" t="s">
        <v>400</v>
      </c>
      <c r="D2093" s="14">
        <v>7.2499064625597889</v>
      </c>
      <c r="E2093" s="14">
        <v>4.2389343065693544E-2</v>
      </c>
      <c r="F2093" s="14">
        <v>0.51246000000000125</v>
      </c>
      <c r="G2093" s="14">
        <v>1.3231173673661303</v>
      </c>
      <c r="H2093" s="14">
        <v>2.965772846715335</v>
      </c>
      <c r="I2093" s="14">
        <v>1.2343545426623443</v>
      </c>
      <c r="J2093" s="14">
        <v>0.91720968556051796</v>
      </c>
    </row>
    <row r="2094" spans="1:10" ht="15.75" x14ac:dyDescent="0.5">
      <c r="A2094" s="13" t="s">
        <v>349</v>
      </c>
      <c r="B2094" s="13" t="s">
        <v>401</v>
      </c>
      <c r="C2094" s="13" t="s">
        <v>400</v>
      </c>
      <c r="D2094" s="14" t="s">
        <v>250</v>
      </c>
      <c r="E2094" s="14" t="s">
        <v>250</v>
      </c>
      <c r="F2094" s="14">
        <v>82.425611395036682</v>
      </c>
      <c r="G2094" s="14">
        <v>82.425611395036668</v>
      </c>
      <c r="H2094" s="14">
        <v>7.1249069810962808</v>
      </c>
      <c r="I2094" s="14">
        <v>6.3622457471146925</v>
      </c>
      <c r="J2094" s="14" t="s">
        <v>250</v>
      </c>
    </row>
    <row r="2095" spans="1:10" ht="15.75" x14ac:dyDescent="0.5">
      <c r="A2095" s="13" t="s">
        <v>349</v>
      </c>
      <c r="B2095" s="13" t="s">
        <v>402</v>
      </c>
      <c r="C2095" s="13" t="s">
        <v>400</v>
      </c>
      <c r="D2095" s="14">
        <v>1072.9916742877465</v>
      </c>
      <c r="E2095" s="14">
        <v>280.57085230277227</v>
      </c>
      <c r="F2095" s="14">
        <v>153.52539490000294</v>
      </c>
      <c r="G2095" s="14">
        <v>144.26264687345974</v>
      </c>
      <c r="H2095" s="14">
        <v>124.55964384365532</v>
      </c>
      <c r="I2095" s="14">
        <v>112.89367720466652</v>
      </c>
      <c r="J2095" s="14">
        <v>103.93905758625883</v>
      </c>
    </row>
    <row r="2096" spans="1:10" ht="15.75" x14ac:dyDescent="0.5">
      <c r="A2096" s="13" t="s">
        <v>349</v>
      </c>
      <c r="B2096" s="13" t="s">
        <v>403</v>
      </c>
      <c r="C2096" s="13" t="s">
        <v>400</v>
      </c>
      <c r="D2096" s="14" t="s">
        <v>250</v>
      </c>
      <c r="E2096" s="14" t="s">
        <v>250</v>
      </c>
      <c r="F2096" s="14">
        <v>28.745097626360959</v>
      </c>
      <c r="G2096" s="14">
        <v>28.745097626361002</v>
      </c>
      <c r="H2096" s="14">
        <v>5.8067825168051552</v>
      </c>
      <c r="I2096" s="14">
        <v>5.8067825168051579</v>
      </c>
      <c r="J2096" s="14" t="s">
        <v>250</v>
      </c>
    </row>
    <row r="2097" spans="1:10" ht="15.75" x14ac:dyDescent="0.5">
      <c r="A2097" s="13" t="s">
        <v>349</v>
      </c>
      <c r="B2097" s="13" t="s">
        <v>404</v>
      </c>
      <c r="C2097" s="13" t="s">
        <v>400</v>
      </c>
      <c r="D2097" s="14" t="s">
        <v>250</v>
      </c>
      <c r="E2097" s="14" t="s">
        <v>250</v>
      </c>
      <c r="F2097" s="14" t="s">
        <v>250</v>
      </c>
      <c r="G2097" s="14" t="s">
        <v>250</v>
      </c>
      <c r="H2097" s="14" t="s">
        <v>250</v>
      </c>
      <c r="I2097" s="14">
        <v>0.3306989691452854</v>
      </c>
      <c r="J2097" s="14">
        <v>0.33069896914528535</v>
      </c>
    </row>
    <row r="2098" spans="1:10" ht="15.75" x14ac:dyDescent="0.5">
      <c r="A2098" s="13" t="s">
        <v>349</v>
      </c>
      <c r="B2098" s="13" t="s">
        <v>421</v>
      </c>
      <c r="C2098" s="13" t="s">
        <v>400</v>
      </c>
      <c r="D2098" s="14" t="s">
        <v>250</v>
      </c>
      <c r="E2098" s="14" t="s">
        <v>250</v>
      </c>
      <c r="F2098" s="14" t="s">
        <v>250</v>
      </c>
      <c r="G2098" s="14">
        <v>770.78753862802751</v>
      </c>
      <c r="H2098" s="14">
        <v>2077.0995303881659</v>
      </c>
      <c r="I2098" s="14">
        <v>2070.6977656451854</v>
      </c>
      <c r="J2098" s="14">
        <v>351.48453255632984</v>
      </c>
    </row>
    <row r="2099" spans="1:10" ht="15.75" x14ac:dyDescent="0.5">
      <c r="A2099" s="13" t="s">
        <v>349</v>
      </c>
      <c r="B2099" s="13" t="s">
        <v>405</v>
      </c>
      <c r="C2099" s="13" t="s">
        <v>400</v>
      </c>
      <c r="D2099" s="14">
        <v>1259.3891290889942</v>
      </c>
      <c r="E2099" s="14">
        <v>1480.8383677359247</v>
      </c>
      <c r="F2099" s="14">
        <v>1668.8587538869028</v>
      </c>
      <c r="G2099" s="14">
        <v>1620.1847434809881</v>
      </c>
      <c r="H2099" s="14">
        <v>1308.3240810845439</v>
      </c>
      <c r="I2099" s="14">
        <v>1946.6515616531717</v>
      </c>
      <c r="J2099" s="14">
        <v>3941.4473910378774</v>
      </c>
    </row>
    <row r="2100" spans="1:10" ht="15.75" x14ac:dyDescent="0.5">
      <c r="A2100" s="13" t="s">
        <v>349</v>
      </c>
      <c r="B2100" s="13" t="s">
        <v>406</v>
      </c>
      <c r="C2100" s="13" t="s">
        <v>400</v>
      </c>
      <c r="D2100" s="14">
        <v>23.479196814299335</v>
      </c>
      <c r="E2100" s="14">
        <v>29.363064778341453</v>
      </c>
      <c r="F2100" s="14">
        <v>43.070989067480852</v>
      </c>
      <c r="G2100" s="14">
        <v>43.309417947390806</v>
      </c>
      <c r="H2100" s="14">
        <v>43.704651731672485</v>
      </c>
      <c r="I2100" s="14">
        <v>45.600399977465493</v>
      </c>
      <c r="J2100" s="14">
        <v>43.419748014629846</v>
      </c>
    </row>
    <row r="2101" spans="1:10" ht="15.75" x14ac:dyDescent="0.5">
      <c r="A2101" s="13" t="s">
        <v>349</v>
      </c>
      <c r="B2101" s="13" t="s">
        <v>407</v>
      </c>
      <c r="C2101" s="13" t="s">
        <v>400</v>
      </c>
      <c r="D2101" s="14" t="s">
        <v>250</v>
      </c>
      <c r="E2101" s="14">
        <v>98.384461534656893</v>
      </c>
      <c r="F2101" s="14">
        <v>61.940057105712434</v>
      </c>
      <c r="G2101" s="14">
        <v>121.28525481161061</v>
      </c>
      <c r="H2101" s="14">
        <v>124.61473375131195</v>
      </c>
      <c r="I2101" s="14">
        <v>148.74221619636444</v>
      </c>
      <c r="J2101" s="14">
        <v>93.724257647461783</v>
      </c>
    </row>
    <row r="2102" spans="1:10" ht="15.75" x14ac:dyDescent="0.5">
      <c r="A2102" s="13" t="s">
        <v>349</v>
      </c>
      <c r="B2102" s="13" t="s">
        <v>408</v>
      </c>
      <c r="C2102" s="13" t="s">
        <v>400</v>
      </c>
      <c r="D2102" s="14">
        <v>46.892290321001248</v>
      </c>
      <c r="E2102" s="14">
        <v>30.111359209161897</v>
      </c>
      <c r="F2102" s="14">
        <v>23.091234137697572</v>
      </c>
      <c r="G2102" s="14">
        <v>27.972913562673497</v>
      </c>
      <c r="H2102" s="14">
        <v>24.436541528122163</v>
      </c>
      <c r="I2102" s="14">
        <v>26.63813942964082</v>
      </c>
      <c r="J2102" s="14">
        <v>34.534446325651587</v>
      </c>
    </row>
    <row r="2103" spans="1:10" ht="15.75" x14ac:dyDescent="0.5">
      <c r="A2103" s="13" t="s">
        <v>349</v>
      </c>
      <c r="B2103" s="13" t="s">
        <v>409</v>
      </c>
      <c r="C2103" s="13" t="s">
        <v>400</v>
      </c>
      <c r="D2103" s="14">
        <v>18.365704270000034</v>
      </c>
      <c r="E2103" s="14">
        <v>18.36570427000003</v>
      </c>
      <c r="F2103" s="14">
        <v>18.36570427000003</v>
      </c>
      <c r="G2103" s="14">
        <v>18.36570427000003</v>
      </c>
      <c r="H2103" s="14">
        <v>18.365704270000034</v>
      </c>
      <c r="I2103" s="14">
        <v>18.365704270000034</v>
      </c>
      <c r="J2103" s="14">
        <v>18.36570427000003</v>
      </c>
    </row>
    <row r="2104" spans="1:10" ht="15.75" x14ac:dyDescent="0.5">
      <c r="A2104" s="13" t="s">
        <v>349</v>
      </c>
      <c r="B2104" s="13" t="s">
        <v>410</v>
      </c>
      <c r="C2104" s="13" t="s">
        <v>400</v>
      </c>
      <c r="D2104" s="14">
        <v>245.79356253202204</v>
      </c>
      <c r="E2104" s="14">
        <v>244.55552033701895</v>
      </c>
      <c r="F2104" s="14">
        <v>245.80477405946013</v>
      </c>
      <c r="G2104" s="14">
        <v>245.97965527290668</v>
      </c>
      <c r="H2104" s="14">
        <v>246.16997594139096</v>
      </c>
      <c r="I2104" s="14">
        <v>246.16997594139099</v>
      </c>
      <c r="J2104" s="14">
        <v>246.16997594139102</v>
      </c>
    </row>
    <row r="2105" spans="1:10" ht="15.75" x14ac:dyDescent="0.5">
      <c r="A2105" s="13" t="s">
        <v>349</v>
      </c>
      <c r="B2105" s="13" t="s">
        <v>411</v>
      </c>
      <c r="C2105" s="13" t="s">
        <v>400</v>
      </c>
      <c r="D2105" s="14">
        <v>7.1394000000000162</v>
      </c>
      <c r="E2105" s="14">
        <v>3.5593489051094984</v>
      </c>
      <c r="F2105" s="14" t="s">
        <v>250</v>
      </c>
      <c r="G2105" s="14" t="s">
        <v>250</v>
      </c>
      <c r="H2105" s="14" t="s">
        <v>250</v>
      </c>
      <c r="I2105" s="14" t="s">
        <v>250</v>
      </c>
      <c r="J2105" s="14" t="s">
        <v>250</v>
      </c>
    </row>
    <row r="2106" spans="1:10" ht="15.75" x14ac:dyDescent="0.5">
      <c r="A2106" s="13" t="s">
        <v>349</v>
      </c>
      <c r="B2106" s="13" t="s">
        <v>412</v>
      </c>
      <c r="C2106" s="13" t="s">
        <v>400</v>
      </c>
      <c r="D2106" s="14">
        <v>760.72545968400186</v>
      </c>
      <c r="E2106" s="14">
        <v>744.71451373181412</v>
      </c>
      <c r="F2106" s="14">
        <v>544.71274461522489</v>
      </c>
      <c r="G2106" s="14">
        <v>589.07732038218489</v>
      </c>
      <c r="H2106" s="14">
        <v>600.4339544178597</v>
      </c>
      <c r="I2106" s="14">
        <v>632.92072990785357</v>
      </c>
      <c r="J2106" s="14">
        <v>635.70645194188467</v>
      </c>
    </row>
    <row r="2107" spans="1:10" ht="15.75" x14ac:dyDescent="0.5">
      <c r="A2107" s="13" t="s">
        <v>349</v>
      </c>
      <c r="B2107" s="13" t="s">
        <v>413</v>
      </c>
      <c r="C2107" s="13" t="s">
        <v>400</v>
      </c>
      <c r="D2107" s="14">
        <v>23.70292761988614</v>
      </c>
      <c r="E2107" s="14">
        <v>27.974134156791187</v>
      </c>
      <c r="F2107" s="14">
        <v>11.692498669203962</v>
      </c>
      <c r="G2107" s="14">
        <v>4.6492658865723575</v>
      </c>
      <c r="H2107" s="14">
        <v>2.4478192209095293</v>
      </c>
      <c r="I2107" s="14">
        <v>1.9554906447090903</v>
      </c>
      <c r="J2107" s="14">
        <v>1.4703816872856081</v>
      </c>
    </row>
    <row r="2108" spans="1:10" ht="15.75" x14ac:dyDescent="0.5">
      <c r="A2108" s="13" t="s">
        <v>349</v>
      </c>
      <c r="B2108" s="13" t="s">
        <v>414</v>
      </c>
      <c r="C2108" s="13" t="s">
        <v>400</v>
      </c>
      <c r="D2108" s="14">
        <v>0.6803907705109502</v>
      </c>
      <c r="E2108" s="14">
        <v>24.086226536243007</v>
      </c>
      <c r="F2108" s="14">
        <v>94.451498332374086</v>
      </c>
      <c r="G2108" s="14">
        <v>188.25629048444156</v>
      </c>
      <c r="H2108" s="14">
        <v>228.01437492808972</v>
      </c>
      <c r="I2108" s="14">
        <v>228.59111367709801</v>
      </c>
      <c r="J2108" s="14">
        <v>229.00306992639011</v>
      </c>
    </row>
    <row r="2109" spans="1:10" ht="15.75" x14ac:dyDescent="0.5">
      <c r="A2109" s="13" t="s">
        <v>349</v>
      </c>
      <c r="B2109" s="13" t="s">
        <v>415</v>
      </c>
      <c r="C2109" s="13" t="s">
        <v>400</v>
      </c>
      <c r="D2109" s="14">
        <v>440.53124483255567</v>
      </c>
      <c r="E2109" s="14">
        <v>864.39425631419044</v>
      </c>
      <c r="F2109" s="14">
        <v>1325.8743872753191</v>
      </c>
      <c r="G2109" s="14">
        <v>1405.3120293342558</v>
      </c>
      <c r="H2109" s="14">
        <v>1501.1573152593355</v>
      </c>
      <c r="I2109" s="14">
        <v>1563.1303376705787</v>
      </c>
      <c r="J2109" s="14">
        <v>1651.8572123800291</v>
      </c>
    </row>
    <row r="2110" spans="1:10" ht="15.75" x14ac:dyDescent="0.5">
      <c r="A2110" s="13" t="s">
        <v>349</v>
      </c>
      <c r="B2110" s="13" t="s">
        <v>416</v>
      </c>
      <c r="C2110" s="13" t="s">
        <v>400</v>
      </c>
      <c r="D2110" s="14" t="s">
        <v>250</v>
      </c>
      <c r="E2110" s="14">
        <v>54.174742594980984</v>
      </c>
      <c r="F2110" s="14">
        <v>66.675949052097494</v>
      </c>
      <c r="G2110" s="14">
        <v>76.801435170202097</v>
      </c>
      <c r="H2110" s="14">
        <v>77.990654991853717</v>
      </c>
      <c r="I2110" s="14">
        <v>82.683057309487666</v>
      </c>
      <c r="J2110" s="14">
        <v>94.727837483420927</v>
      </c>
    </row>
    <row r="2111" spans="1:10" ht="15.75" x14ac:dyDescent="0.5">
      <c r="A2111" s="13" t="s">
        <v>349</v>
      </c>
      <c r="B2111" s="13" t="s">
        <v>417</v>
      </c>
      <c r="C2111" s="13" t="s">
        <v>400</v>
      </c>
      <c r="D2111" s="14">
        <v>187.48709633408697</v>
      </c>
      <c r="E2111" s="14">
        <v>300.46762241003159</v>
      </c>
      <c r="F2111" s="14">
        <v>344.05114058379547</v>
      </c>
      <c r="G2111" s="14">
        <v>412.52589551436358</v>
      </c>
      <c r="H2111" s="14">
        <v>567.32257767804185</v>
      </c>
      <c r="I2111" s="14">
        <v>737.0654397751257</v>
      </c>
      <c r="J2111" s="14">
        <v>1028.5022641311739</v>
      </c>
    </row>
    <row r="2112" spans="1:10" ht="15.75" x14ac:dyDescent="0.5">
      <c r="A2112" s="13" t="s">
        <v>349</v>
      </c>
      <c r="B2112" s="13" t="s">
        <v>418</v>
      </c>
      <c r="C2112" s="13" t="s">
        <v>400</v>
      </c>
      <c r="D2112" s="14">
        <v>3.1841751731019539</v>
      </c>
      <c r="E2112" s="14">
        <v>3.1841751731019539</v>
      </c>
      <c r="F2112" s="14">
        <v>3.184175173101953</v>
      </c>
      <c r="G2112" s="14">
        <v>3.184175173101953</v>
      </c>
      <c r="H2112" s="14">
        <v>3.1841751731019534</v>
      </c>
      <c r="I2112" s="14">
        <v>3.1841751731019534</v>
      </c>
      <c r="J2112" s="14">
        <v>3.184175173101953</v>
      </c>
    </row>
    <row r="2113" spans="1:10" ht="15.75" x14ac:dyDescent="0.5">
      <c r="A2113" s="13" t="s">
        <v>349</v>
      </c>
      <c r="B2113" s="13" t="s">
        <v>419</v>
      </c>
      <c r="C2113" s="13" t="s">
        <v>400</v>
      </c>
      <c r="D2113" s="14">
        <v>0.54465920264079482</v>
      </c>
      <c r="E2113" s="14">
        <v>8.7397673049537907</v>
      </c>
      <c r="F2113" s="14">
        <v>16.829426670380951</v>
      </c>
      <c r="G2113" s="14">
        <v>18.693546586220123</v>
      </c>
      <c r="H2113" s="14">
        <v>23.984274405377967</v>
      </c>
      <c r="I2113" s="14">
        <v>26.923937549977911</v>
      </c>
      <c r="J2113" s="14">
        <v>42.775567306231217</v>
      </c>
    </row>
    <row r="2114" spans="1:10" ht="15.75" x14ac:dyDescent="0.5">
      <c r="A2114" s="13" t="s">
        <v>349</v>
      </c>
      <c r="B2114" s="13" t="s">
        <v>420</v>
      </c>
      <c r="C2114" s="13" t="s">
        <v>400</v>
      </c>
      <c r="D2114" s="14">
        <v>-13.987252957808327</v>
      </c>
      <c r="E2114" s="14">
        <v>-13.612060812213674</v>
      </c>
      <c r="F2114" s="14">
        <v>-13.082192330249057</v>
      </c>
      <c r="G2114" s="14">
        <v>-11.598422695005688</v>
      </c>
      <c r="H2114" s="14">
        <v>-16.180407886984266</v>
      </c>
      <c r="I2114" s="14">
        <v>-17.246078775125504</v>
      </c>
      <c r="J2114" s="14">
        <v>-17.956895431399868</v>
      </c>
    </row>
    <row r="2115" spans="1:10" ht="15.75" x14ac:dyDescent="0.5">
      <c r="A2115" s="13" t="s">
        <v>350</v>
      </c>
      <c r="B2115" s="13" t="s">
        <v>399</v>
      </c>
      <c r="C2115" s="13" t="s">
        <v>400</v>
      </c>
      <c r="D2115" s="14">
        <v>7.2499064625597898</v>
      </c>
      <c r="E2115" s="14">
        <v>0.29730534306569406</v>
      </c>
      <c r="F2115" s="14">
        <v>0.51246000000000114</v>
      </c>
      <c r="G2115" s="14">
        <v>1.7718840000000038</v>
      </c>
      <c r="H2115" s="14">
        <v>1.8418369051094943</v>
      </c>
      <c r="I2115" s="14">
        <v>0.71448000000000156</v>
      </c>
      <c r="J2115" s="14">
        <v>0.12722802919708048</v>
      </c>
    </row>
    <row r="2116" spans="1:10" ht="15.75" x14ac:dyDescent="0.5">
      <c r="A2116" s="13" t="s">
        <v>350</v>
      </c>
      <c r="B2116" s="13" t="s">
        <v>401</v>
      </c>
      <c r="C2116" s="13" t="s">
        <v>400</v>
      </c>
      <c r="D2116" s="14" t="s">
        <v>250</v>
      </c>
      <c r="E2116" s="14" t="s">
        <v>250</v>
      </c>
      <c r="F2116" s="14">
        <v>82.117623461694862</v>
      </c>
      <c r="G2116" s="14">
        <v>82.117623461694848</v>
      </c>
      <c r="H2116" s="14">
        <v>7.9771167761367385</v>
      </c>
      <c r="I2116" s="14">
        <v>7.586642867945395</v>
      </c>
      <c r="J2116" s="14" t="s">
        <v>250</v>
      </c>
    </row>
    <row r="2117" spans="1:10" ht="15.75" x14ac:dyDescent="0.5">
      <c r="A2117" s="13" t="s">
        <v>350</v>
      </c>
      <c r="B2117" s="13" t="s">
        <v>402</v>
      </c>
      <c r="C2117" s="13" t="s">
        <v>400</v>
      </c>
      <c r="D2117" s="14">
        <v>1072.9916742877465</v>
      </c>
      <c r="E2117" s="14">
        <v>277.4068680012266</v>
      </c>
      <c r="F2117" s="14">
        <v>152.91728602175917</v>
      </c>
      <c r="G2117" s="14">
        <v>144.05263149064393</v>
      </c>
      <c r="H2117" s="14">
        <v>124.01312969956449</v>
      </c>
      <c r="I2117" s="14">
        <v>114.87861918181203</v>
      </c>
      <c r="J2117" s="14">
        <v>111.3298931910939</v>
      </c>
    </row>
    <row r="2118" spans="1:10" ht="15.75" x14ac:dyDescent="0.5">
      <c r="A2118" s="13" t="s">
        <v>350</v>
      </c>
      <c r="B2118" s="13" t="s">
        <v>403</v>
      </c>
      <c r="C2118" s="13" t="s">
        <v>400</v>
      </c>
      <c r="D2118" s="14" t="s">
        <v>250</v>
      </c>
      <c r="E2118" s="14" t="s">
        <v>250</v>
      </c>
      <c r="F2118" s="14">
        <v>31.210374939711802</v>
      </c>
      <c r="G2118" s="14">
        <v>31.210374939711741</v>
      </c>
      <c r="H2118" s="14">
        <v>6.3011563095894036</v>
      </c>
      <c r="I2118" s="14">
        <v>6.3011563095894063</v>
      </c>
      <c r="J2118" s="14" t="s">
        <v>250</v>
      </c>
    </row>
    <row r="2119" spans="1:10" ht="15.75" x14ac:dyDescent="0.5">
      <c r="A2119" s="13" t="s">
        <v>350</v>
      </c>
      <c r="B2119" s="13" t="s">
        <v>404</v>
      </c>
      <c r="C2119" s="13" t="s">
        <v>400</v>
      </c>
      <c r="D2119" s="14" t="s">
        <v>250</v>
      </c>
      <c r="E2119" s="14" t="s">
        <v>250</v>
      </c>
      <c r="F2119" s="14" t="s">
        <v>250</v>
      </c>
      <c r="G2119" s="14" t="s">
        <v>250</v>
      </c>
      <c r="H2119" s="14" t="s">
        <v>250</v>
      </c>
      <c r="I2119" s="14">
        <v>0.33069896914528535</v>
      </c>
      <c r="J2119" s="14">
        <v>0.33069896914528529</v>
      </c>
    </row>
    <row r="2120" spans="1:10" ht="15.75" x14ac:dyDescent="0.5">
      <c r="A2120" s="13" t="s">
        <v>350</v>
      </c>
      <c r="B2120" s="13" t="s">
        <v>421</v>
      </c>
      <c r="C2120" s="13" t="s">
        <v>400</v>
      </c>
      <c r="D2120" s="14" t="s">
        <v>250</v>
      </c>
      <c r="E2120" s="14" t="s">
        <v>250</v>
      </c>
      <c r="F2120" s="14" t="s">
        <v>250</v>
      </c>
      <c r="G2120" s="14">
        <v>789.55000634606472</v>
      </c>
      <c r="H2120" s="14">
        <v>2130.1441716543682</v>
      </c>
      <c r="I2120" s="14">
        <v>2131.6740010805192</v>
      </c>
      <c r="J2120" s="14">
        <v>356.99334271352103</v>
      </c>
    </row>
    <row r="2121" spans="1:10" ht="15.75" x14ac:dyDescent="0.5">
      <c r="A2121" s="13" t="s">
        <v>350</v>
      </c>
      <c r="B2121" s="13" t="s">
        <v>405</v>
      </c>
      <c r="C2121" s="13" t="s">
        <v>400</v>
      </c>
      <c r="D2121" s="14">
        <v>1259.3891290889949</v>
      </c>
      <c r="E2121" s="14">
        <v>1476.0618403666285</v>
      </c>
      <c r="F2121" s="14">
        <v>1644.7496322959782</v>
      </c>
      <c r="G2121" s="14">
        <v>1576.0623685060166</v>
      </c>
      <c r="H2121" s="14">
        <v>1218.1017694121031</v>
      </c>
      <c r="I2121" s="14">
        <v>1789.9821728727768</v>
      </c>
      <c r="J2121" s="14">
        <v>3767.5878828189893</v>
      </c>
    </row>
    <row r="2122" spans="1:10" ht="15.75" x14ac:dyDescent="0.5">
      <c r="A2122" s="13" t="s">
        <v>350</v>
      </c>
      <c r="B2122" s="13" t="s">
        <v>406</v>
      </c>
      <c r="C2122" s="13" t="s">
        <v>400</v>
      </c>
      <c r="D2122" s="14">
        <v>23.479196814299328</v>
      </c>
      <c r="E2122" s="14">
        <v>29.176687086623534</v>
      </c>
      <c r="F2122" s="14">
        <v>43.176458153706918</v>
      </c>
      <c r="G2122" s="14">
        <v>43.330429832832841</v>
      </c>
      <c r="H2122" s="14">
        <v>44.305554160203833</v>
      </c>
      <c r="I2122" s="14">
        <v>48.194489296137711</v>
      </c>
      <c r="J2122" s="14">
        <v>46.146447538009809</v>
      </c>
    </row>
    <row r="2123" spans="1:10" ht="15.75" x14ac:dyDescent="0.5">
      <c r="A2123" s="13" t="s">
        <v>350</v>
      </c>
      <c r="B2123" s="13" t="s">
        <v>407</v>
      </c>
      <c r="C2123" s="13" t="s">
        <v>400</v>
      </c>
      <c r="D2123" s="14" t="s">
        <v>250</v>
      </c>
      <c r="E2123" s="14">
        <v>98.746430593957712</v>
      </c>
      <c r="F2123" s="14">
        <v>58.082781041787641</v>
      </c>
      <c r="G2123" s="14">
        <v>125.97700433867284</v>
      </c>
      <c r="H2123" s="14">
        <v>100.07262809047833</v>
      </c>
      <c r="I2123" s="14">
        <v>113.30292739434152</v>
      </c>
      <c r="J2123" s="14">
        <v>77.182739928736467</v>
      </c>
    </row>
    <row r="2124" spans="1:10" ht="15.75" x14ac:dyDescent="0.5">
      <c r="A2124" s="13" t="s">
        <v>350</v>
      </c>
      <c r="B2124" s="13" t="s">
        <v>408</v>
      </c>
      <c r="C2124" s="13" t="s">
        <v>400</v>
      </c>
      <c r="D2124" s="14">
        <v>46.892290321001212</v>
      </c>
      <c r="E2124" s="14">
        <v>30.173139844042918</v>
      </c>
      <c r="F2124" s="14">
        <v>22.90158945710364</v>
      </c>
      <c r="G2124" s="14">
        <v>27.242148524700536</v>
      </c>
      <c r="H2124" s="14">
        <v>24.631746892312613</v>
      </c>
      <c r="I2124" s="14">
        <v>27.875264901771434</v>
      </c>
      <c r="J2124" s="14">
        <v>32.725380778796684</v>
      </c>
    </row>
    <row r="2125" spans="1:10" ht="15.75" x14ac:dyDescent="0.5">
      <c r="A2125" s="13" t="s">
        <v>350</v>
      </c>
      <c r="B2125" s="13" t="s">
        <v>409</v>
      </c>
      <c r="C2125" s="13" t="s">
        <v>400</v>
      </c>
      <c r="D2125" s="14">
        <v>18.365704270000034</v>
      </c>
      <c r="E2125" s="14">
        <v>18.365704270000034</v>
      </c>
      <c r="F2125" s="14">
        <v>18.36570427000003</v>
      </c>
      <c r="G2125" s="14">
        <v>18.36570427000003</v>
      </c>
      <c r="H2125" s="14">
        <v>18.365704270000034</v>
      </c>
      <c r="I2125" s="14">
        <v>18.365704270000037</v>
      </c>
      <c r="J2125" s="14">
        <v>18.365704270000027</v>
      </c>
    </row>
    <row r="2126" spans="1:10" ht="15.75" x14ac:dyDescent="0.5">
      <c r="A2126" s="13" t="s">
        <v>350</v>
      </c>
      <c r="B2126" s="13" t="s">
        <v>410</v>
      </c>
      <c r="C2126" s="13" t="s">
        <v>400</v>
      </c>
      <c r="D2126" s="14">
        <v>245.79356253202212</v>
      </c>
      <c r="E2126" s="14">
        <v>244.55488039616415</v>
      </c>
      <c r="F2126" s="14">
        <v>245.78664721578068</v>
      </c>
      <c r="G2126" s="14">
        <v>245.97179211049206</v>
      </c>
      <c r="H2126" s="14">
        <v>246.16997594139121</v>
      </c>
      <c r="I2126" s="14">
        <v>246.16285510722471</v>
      </c>
      <c r="J2126" s="14">
        <v>246.16997594139693</v>
      </c>
    </row>
    <row r="2127" spans="1:10" ht="15.75" x14ac:dyDescent="0.5">
      <c r="A2127" s="13" t="s">
        <v>350</v>
      </c>
      <c r="B2127" s="13" t="s">
        <v>411</v>
      </c>
      <c r="C2127" s="13" t="s">
        <v>400</v>
      </c>
      <c r="D2127" s="14">
        <v>7.1394000000000144</v>
      </c>
      <c r="E2127" s="14">
        <v>3.559348905109498</v>
      </c>
      <c r="F2127" s="14" t="s">
        <v>250</v>
      </c>
      <c r="G2127" s="14" t="s">
        <v>250</v>
      </c>
      <c r="H2127" s="14" t="s">
        <v>250</v>
      </c>
      <c r="I2127" s="14" t="s">
        <v>250</v>
      </c>
      <c r="J2127" s="14" t="s">
        <v>250</v>
      </c>
    </row>
    <row r="2128" spans="1:10" ht="15.75" x14ac:dyDescent="0.5">
      <c r="A2128" s="13" t="s">
        <v>350</v>
      </c>
      <c r="B2128" s="13" t="s">
        <v>412</v>
      </c>
      <c r="C2128" s="13" t="s">
        <v>400</v>
      </c>
      <c r="D2128" s="14">
        <v>760.72545968400163</v>
      </c>
      <c r="E2128" s="14">
        <v>751.37799034686304</v>
      </c>
      <c r="F2128" s="14">
        <v>577.83311971290016</v>
      </c>
      <c r="G2128" s="14">
        <v>677.73144543061335</v>
      </c>
      <c r="H2128" s="14">
        <v>850.14460361827332</v>
      </c>
      <c r="I2128" s="14">
        <v>1006.8592358415166</v>
      </c>
      <c r="J2128" s="14">
        <v>1112.6056877652657</v>
      </c>
    </row>
    <row r="2129" spans="1:10" ht="15.75" x14ac:dyDescent="0.5">
      <c r="A2129" s="13" t="s">
        <v>350</v>
      </c>
      <c r="B2129" s="13" t="s">
        <v>413</v>
      </c>
      <c r="C2129" s="13" t="s">
        <v>400</v>
      </c>
      <c r="D2129" s="14">
        <v>23.70292761988614</v>
      </c>
      <c r="E2129" s="14">
        <v>28.079535803126323</v>
      </c>
      <c r="F2129" s="14">
        <v>11.695118907161781</v>
      </c>
      <c r="G2129" s="14">
        <v>4.7383692097206414</v>
      </c>
      <c r="H2129" s="14">
        <v>2.3675358034067653</v>
      </c>
      <c r="I2129" s="14">
        <v>1.9227890600266413</v>
      </c>
      <c r="J2129" s="14">
        <v>1.5743169881359635</v>
      </c>
    </row>
    <row r="2130" spans="1:10" ht="15.75" x14ac:dyDescent="0.5">
      <c r="A2130" s="13" t="s">
        <v>350</v>
      </c>
      <c r="B2130" s="13" t="s">
        <v>414</v>
      </c>
      <c r="C2130" s="13" t="s">
        <v>400</v>
      </c>
      <c r="D2130" s="14">
        <v>0.6803907705109502</v>
      </c>
      <c r="E2130" s="14">
        <v>24.08015373135494</v>
      </c>
      <c r="F2130" s="14">
        <v>94.46008661638119</v>
      </c>
      <c r="G2130" s="14">
        <v>188.33345961671546</v>
      </c>
      <c r="H2130" s="14">
        <v>228.10697817171257</v>
      </c>
      <c r="I2130" s="14">
        <v>228.68398684481218</v>
      </c>
      <c r="J2130" s="14">
        <v>229.0961358970267</v>
      </c>
    </row>
    <row r="2131" spans="1:10" ht="15.75" x14ac:dyDescent="0.5">
      <c r="A2131" s="13" t="s">
        <v>350</v>
      </c>
      <c r="B2131" s="13" t="s">
        <v>415</v>
      </c>
      <c r="C2131" s="13" t="s">
        <v>400</v>
      </c>
      <c r="D2131" s="14">
        <v>440.53124483255556</v>
      </c>
      <c r="E2131" s="14">
        <v>864.13934000597339</v>
      </c>
      <c r="F2131" s="14">
        <v>1318.4586181277689</v>
      </c>
      <c r="G2131" s="14">
        <v>1367.70898403519</v>
      </c>
      <c r="H2131" s="14">
        <v>1427.9382104961055</v>
      </c>
      <c r="I2131" s="14">
        <v>1464.4319374695619</v>
      </c>
      <c r="J2131" s="14">
        <v>1498.156160063935</v>
      </c>
    </row>
    <row r="2132" spans="1:10" ht="15.75" x14ac:dyDescent="0.5">
      <c r="A2132" s="13" t="s">
        <v>350</v>
      </c>
      <c r="B2132" s="13" t="s">
        <v>416</v>
      </c>
      <c r="C2132" s="13" t="s">
        <v>400</v>
      </c>
      <c r="D2132" s="14" t="s">
        <v>250</v>
      </c>
      <c r="E2132" s="14">
        <v>54.174742594981019</v>
      </c>
      <c r="F2132" s="14">
        <v>66.675949052097479</v>
      </c>
      <c r="G2132" s="14">
        <v>76.801435170202083</v>
      </c>
      <c r="H2132" s="14">
        <v>77.990654991853702</v>
      </c>
      <c r="I2132" s="14">
        <v>82.683057309487637</v>
      </c>
      <c r="J2132" s="14">
        <v>94.727837483420927</v>
      </c>
    </row>
    <row r="2133" spans="1:10" ht="15.75" x14ac:dyDescent="0.5">
      <c r="A2133" s="13" t="s">
        <v>350</v>
      </c>
      <c r="B2133" s="13" t="s">
        <v>417</v>
      </c>
      <c r="C2133" s="13" t="s">
        <v>400</v>
      </c>
      <c r="D2133" s="14">
        <v>187.48709633408697</v>
      </c>
      <c r="E2133" s="14">
        <v>300.46762241003154</v>
      </c>
      <c r="F2133" s="14">
        <v>344.05172799197265</v>
      </c>
      <c r="G2133" s="14">
        <v>380.33310631461035</v>
      </c>
      <c r="H2133" s="14">
        <v>447.77405596818591</v>
      </c>
      <c r="I2133" s="14">
        <v>567.14011412114291</v>
      </c>
      <c r="J2133" s="14">
        <v>844.59511318203363</v>
      </c>
    </row>
    <row r="2134" spans="1:10" ht="15.75" x14ac:dyDescent="0.5">
      <c r="A2134" s="13" t="s">
        <v>350</v>
      </c>
      <c r="B2134" s="13" t="s">
        <v>418</v>
      </c>
      <c r="C2134" s="13" t="s">
        <v>400</v>
      </c>
      <c r="D2134" s="14">
        <v>3.1841751731019534</v>
      </c>
      <c r="E2134" s="14">
        <v>3.1841751731019534</v>
      </c>
      <c r="F2134" s="14">
        <v>3.1841751731019539</v>
      </c>
      <c r="G2134" s="14">
        <v>3.184175173101953</v>
      </c>
      <c r="H2134" s="14">
        <v>3.1841751731019534</v>
      </c>
      <c r="I2134" s="14">
        <v>3.1841751731019534</v>
      </c>
      <c r="J2134" s="14">
        <v>3.184175173101953</v>
      </c>
    </row>
    <row r="2135" spans="1:10" ht="15.75" x14ac:dyDescent="0.5">
      <c r="A2135" s="13" t="s">
        <v>350</v>
      </c>
      <c r="B2135" s="13" t="s">
        <v>419</v>
      </c>
      <c r="C2135" s="13" t="s">
        <v>400</v>
      </c>
      <c r="D2135" s="14">
        <v>0.54465920264079504</v>
      </c>
      <c r="E2135" s="14">
        <v>8.7445310508039515</v>
      </c>
      <c r="F2135" s="14">
        <v>16.755291824377693</v>
      </c>
      <c r="G2135" s="14">
        <v>17.575758115084476</v>
      </c>
      <c r="H2135" s="14">
        <v>20.421253983160931</v>
      </c>
      <c r="I2135" s="14">
        <v>17.094563687230099</v>
      </c>
      <c r="J2135" s="14">
        <v>27.566146302782592</v>
      </c>
    </row>
    <row r="2136" spans="1:10" ht="15.75" x14ac:dyDescent="0.5">
      <c r="A2136" s="13" t="s">
        <v>350</v>
      </c>
      <c r="B2136" s="13" t="s">
        <v>420</v>
      </c>
      <c r="C2136" s="13" t="s">
        <v>400</v>
      </c>
      <c r="D2136" s="14">
        <v>-13.987252957808336</v>
      </c>
      <c r="E2136" s="14">
        <v>-13.680116927993508</v>
      </c>
      <c r="F2136" s="14">
        <v>-13.531274758063525</v>
      </c>
      <c r="G2136" s="14">
        <v>-12.134577399207316</v>
      </c>
      <c r="H2136" s="14">
        <v>-15.489672513459894</v>
      </c>
      <c r="I2136" s="14">
        <v>-16.108760511022211</v>
      </c>
      <c r="J2136" s="14">
        <v>-17.975329326438342</v>
      </c>
    </row>
    <row r="2137" spans="1:10" ht="15.75" x14ac:dyDescent="0.5">
      <c r="A2137" s="13" t="s">
        <v>351</v>
      </c>
      <c r="B2137" s="13" t="s">
        <v>399</v>
      </c>
      <c r="C2137" s="13" t="s">
        <v>400</v>
      </c>
      <c r="D2137" s="14">
        <v>7.2499064625597898</v>
      </c>
      <c r="E2137" s="14">
        <v>4.2389343065693544E-2</v>
      </c>
      <c r="F2137" s="14">
        <v>0.51246000000000103</v>
      </c>
      <c r="G2137" s="14">
        <v>1.3738707153284697</v>
      </c>
      <c r="H2137" s="14">
        <v>2.9489576983386572</v>
      </c>
      <c r="I2137" s="14">
        <v>3.6691354711581776</v>
      </c>
      <c r="J2137" s="14">
        <v>4.192614540481765</v>
      </c>
    </row>
    <row r="2138" spans="1:10" ht="15.75" x14ac:dyDescent="0.5">
      <c r="A2138" s="13" t="s">
        <v>351</v>
      </c>
      <c r="B2138" s="13" t="s">
        <v>401</v>
      </c>
      <c r="C2138" s="13" t="s">
        <v>400</v>
      </c>
      <c r="D2138" s="14" t="s">
        <v>250</v>
      </c>
      <c r="E2138" s="14" t="s">
        <v>250</v>
      </c>
      <c r="F2138" s="14">
        <v>98.050522483525668</v>
      </c>
      <c r="G2138" s="14">
        <v>98.050522483525668</v>
      </c>
      <c r="H2138" s="14">
        <v>11.350194817247189</v>
      </c>
      <c r="I2138" s="14">
        <v>10.8758114741438</v>
      </c>
      <c r="J2138" s="14" t="s">
        <v>250</v>
      </c>
    </row>
    <row r="2139" spans="1:10" ht="15.75" x14ac:dyDescent="0.5">
      <c r="A2139" s="13" t="s">
        <v>351</v>
      </c>
      <c r="B2139" s="13" t="s">
        <v>402</v>
      </c>
      <c r="C2139" s="13" t="s">
        <v>400</v>
      </c>
      <c r="D2139" s="14">
        <v>1072.9916742877467</v>
      </c>
      <c r="E2139" s="14">
        <v>279.45416135383988</v>
      </c>
      <c r="F2139" s="14">
        <v>142.5166479138945</v>
      </c>
      <c r="G2139" s="14">
        <v>116.86187659625307</v>
      </c>
      <c r="H2139" s="14">
        <v>100.43151669942941</v>
      </c>
      <c r="I2139" s="14">
        <v>5.4607441873824465</v>
      </c>
      <c r="J2139" s="14" t="s">
        <v>250</v>
      </c>
    </row>
    <row r="2140" spans="1:10" ht="15.75" x14ac:dyDescent="0.5">
      <c r="A2140" s="13" t="s">
        <v>351</v>
      </c>
      <c r="B2140" s="13" t="s">
        <v>403</v>
      </c>
      <c r="C2140" s="13" t="s">
        <v>400</v>
      </c>
      <c r="D2140" s="14" t="s">
        <v>250</v>
      </c>
      <c r="E2140" s="14" t="s">
        <v>250</v>
      </c>
      <c r="F2140" s="14">
        <v>170.12841005271184</v>
      </c>
      <c r="G2140" s="14">
        <v>170.12841005271187</v>
      </c>
      <c r="H2140" s="14">
        <v>34.569614851326619</v>
      </c>
      <c r="I2140" s="14">
        <v>96.391604375927727</v>
      </c>
      <c r="J2140" s="14">
        <v>13.106296573155342</v>
      </c>
    </row>
    <row r="2141" spans="1:10" ht="15.75" x14ac:dyDescent="0.5">
      <c r="A2141" s="13" t="s">
        <v>351</v>
      </c>
      <c r="B2141" s="13" t="s">
        <v>404</v>
      </c>
      <c r="C2141" s="13" t="s">
        <v>400</v>
      </c>
      <c r="D2141" s="14" t="s">
        <v>250</v>
      </c>
      <c r="E2141" s="14" t="s">
        <v>250</v>
      </c>
      <c r="F2141" s="14" t="s">
        <v>250</v>
      </c>
      <c r="G2141" s="14" t="s">
        <v>250</v>
      </c>
      <c r="H2141" s="14" t="s">
        <v>250</v>
      </c>
      <c r="I2141" s="14">
        <v>0.33069896914528529</v>
      </c>
      <c r="J2141" s="14">
        <v>170.71990931105776</v>
      </c>
    </row>
    <row r="2142" spans="1:10" ht="15.75" x14ac:dyDescent="0.5">
      <c r="A2142" s="13" t="s">
        <v>351</v>
      </c>
      <c r="B2142" s="13" t="s">
        <v>421</v>
      </c>
      <c r="C2142" s="13" t="s">
        <v>400</v>
      </c>
      <c r="D2142" s="14" t="s">
        <v>250</v>
      </c>
      <c r="E2142" s="14" t="s">
        <v>250</v>
      </c>
      <c r="F2142" s="14" t="s">
        <v>250</v>
      </c>
      <c r="G2142" s="14">
        <v>867.38422303945379</v>
      </c>
      <c r="H2142" s="14">
        <v>2329.6318265829882</v>
      </c>
      <c r="I2142" s="14">
        <v>2342.2489851159448</v>
      </c>
      <c r="J2142" s="14">
        <v>1948.7429353076493</v>
      </c>
    </row>
    <row r="2143" spans="1:10" ht="15.75" x14ac:dyDescent="0.5">
      <c r="A2143" s="13" t="s">
        <v>351</v>
      </c>
      <c r="B2143" s="13" t="s">
        <v>405</v>
      </c>
      <c r="C2143" s="13" t="s">
        <v>400</v>
      </c>
      <c r="D2143" s="14">
        <v>1259.3891290889937</v>
      </c>
      <c r="E2143" s="14">
        <v>1480.4034543229927</v>
      </c>
      <c r="F2143" s="14">
        <v>1412.5564109006243</v>
      </c>
      <c r="G2143" s="14">
        <v>1232.550109195085</v>
      </c>
      <c r="H2143" s="14">
        <v>809.02778018007064</v>
      </c>
      <c r="I2143" s="14">
        <v>547.27646001825667</v>
      </c>
      <c r="J2143" s="14">
        <v>120.52497440412769</v>
      </c>
    </row>
    <row r="2144" spans="1:10" ht="15.75" x14ac:dyDescent="0.5">
      <c r="A2144" s="13" t="s">
        <v>351</v>
      </c>
      <c r="B2144" s="13" t="s">
        <v>406</v>
      </c>
      <c r="C2144" s="13" t="s">
        <v>400</v>
      </c>
      <c r="D2144" s="14">
        <v>23.479196814299335</v>
      </c>
      <c r="E2144" s="14">
        <v>30.502960915646529</v>
      </c>
      <c r="F2144" s="14">
        <v>45.788078854881803</v>
      </c>
      <c r="G2144" s="14">
        <v>52.560123543671786</v>
      </c>
      <c r="H2144" s="14">
        <v>63.571647800156335</v>
      </c>
      <c r="I2144" s="14">
        <v>87.328989060755063</v>
      </c>
      <c r="J2144" s="14">
        <v>108.97809133526003</v>
      </c>
    </row>
    <row r="2145" spans="1:10" ht="15.75" x14ac:dyDescent="0.5">
      <c r="A2145" s="13" t="s">
        <v>351</v>
      </c>
      <c r="B2145" s="13" t="s">
        <v>407</v>
      </c>
      <c r="C2145" s="13" t="s">
        <v>400</v>
      </c>
      <c r="D2145" s="14" t="s">
        <v>250</v>
      </c>
      <c r="E2145" s="14">
        <v>94.806299636064395</v>
      </c>
      <c r="F2145" s="14">
        <v>83.193873255383778</v>
      </c>
      <c r="G2145" s="14">
        <v>160.11639625974524</v>
      </c>
      <c r="H2145" s="14">
        <v>189.00674002686827</v>
      </c>
      <c r="I2145" s="14">
        <v>412.55869614165795</v>
      </c>
      <c r="J2145" s="14">
        <v>558.76930282671481</v>
      </c>
    </row>
    <row r="2146" spans="1:10" ht="15.75" x14ac:dyDescent="0.5">
      <c r="A2146" s="13" t="s">
        <v>351</v>
      </c>
      <c r="B2146" s="13" t="s">
        <v>408</v>
      </c>
      <c r="C2146" s="13" t="s">
        <v>400</v>
      </c>
      <c r="D2146" s="14">
        <v>46.892290321001219</v>
      </c>
      <c r="E2146" s="14">
        <v>30.220438216222419</v>
      </c>
      <c r="F2146" s="14">
        <v>23.169858608202166</v>
      </c>
      <c r="G2146" s="14">
        <v>31.36086021168099</v>
      </c>
      <c r="H2146" s="14">
        <v>28.518868355353455</v>
      </c>
      <c r="I2146" s="14">
        <v>46.883933519157502</v>
      </c>
      <c r="J2146" s="14">
        <v>46.483736917819648</v>
      </c>
    </row>
    <row r="2147" spans="1:10" ht="15.75" x14ac:dyDescent="0.5">
      <c r="A2147" s="13" t="s">
        <v>351</v>
      </c>
      <c r="B2147" s="13" t="s">
        <v>409</v>
      </c>
      <c r="C2147" s="13" t="s">
        <v>400</v>
      </c>
      <c r="D2147" s="14">
        <v>18.365704270000034</v>
      </c>
      <c r="E2147" s="14">
        <v>18.365704270000034</v>
      </c>
      <c r="F2147" s="14">
        <v>18.36570427000003</v>
      </c>
      <c r="G2147" s="14">
        <v>18.365704270000034</v>
      </c>
      <c r="H2147" s="14">
        <v>18.365704270000034</v>
      </c>
      <c r="I2147" s="14">
        <v>18.365704270000034</v>
      </c>
      <c r="J2147" s="14">
        <v>18.365704270000037</v>
      </c>
    </row>
    <row r="2148" spans="1:10" ht="15.75" x14ac:dyDescent="0.5">
      <c r="A2148" s="13" t="s">
        <v>351</v>
      </c>
      <c r="B2148" s="13" t="s">
        <v>410</v>
      </c>
      <c r="C2148" s="13" t="s">
        <v>400</v>
      </c>
      <c r="D2148" s="14">
        <v>245.79356253202221</v>
      </c>
      <c r="E2148" s="14">
        <v>244.54844199773081</v>
      </c>
      <c r="F2148" s="14">
        <v>245.94688675037185</v>
      </c>
      <c r="G2148" s="14">
        <v>246.00261471142289</v>
      </c>
      <c r="H2148" s="14">
        <v>246.1699759413884</v>
      </c>
      <c r="I2148" s="14">
        <v>246.08187893910707</v>
      </c>
      <c r="J2148" s="14">
        <v>246.16997594139116</v>
      </c>
    </row>
    <row r="2149" spans="1:10" ht="15.75" x14ac:dyDescent="0.5">
      <c r="A2149" s="13" t="s">
        <v>351</v>
      </c>
      <c r="B2149" s="13" t="s">
        <v>411</v>
      </c>
      <c r="C2149" s="13" t="s">
        <v>400</v>
      </c>
      <c r="D2149" s="14">
        <v>7.1394000000000162</v>
      </c>
      <c r="E2149" s="14">
        <v>3.559348905109498</v>
      </c>
      <c r="F2149" s="14" t="s">
        <v>250</v>
      </c>
      <c r="G2149" s="14" t="s">
        <v>250</v>
      </c>
      <c r="H2149" s="14" t="s">
        <v>250</v>
      </c>
      <c r="I2149" s="14" t="s">
        <v>250</v>
      </c>
      <c r="J2149" s="14" t="s">
        <v>250</v>
      </c>
    </row>
    <row r="2150" spans="1:10" ht="15.75" x14ac:dyDescent="0.5">
      <c r="A2150" s="13" t="s">
        <v>351</v>
      </c>
      <c r="B2150" s="13" t="s">
        <v>412</v>
      </c>
      <c r="C2150" s="13" t="s">
        <v>400</v>
      </c>
      <c r="D2150" s="14">
        <v>760.72545968400175</v>
      </c>
      <c r="E2150" s="14">
        <v>744.87160256827735</v>
      </c>
      <c r="F2150" s="14">
        <v>630.93148759933058</v>
      </c>
      <c r="G2150" s="14">
        <v>707.27968806734725</v>
      </c>
      <c r="H2150" s="14">
        <v>731.17930624424866</v>
      </c>
      <c r="I2150" s="14">
        <v>769.0285794057196</v>
      </c>
      <c r="J2150" s="14">
        <v>838.58380890687749</v>
      </c>
    </row>
    <row r="2151" spans="1:10" ht="15.75" x14ac:dyDescent="0.5">
      <c r="A2151" s="13" t="s">
        <v>351</v>
      </c>
      <c r="B2151" s="13" t="s">
        <v>413</v>
      </c>
      <c r="C2151" s="13" t="s">
        <v>400</v>
      </c>
      <c r="D2151" s="14">
        <v>23.702927619886125</v>
      </c>
      <c r="E2151" s="14">
        <v>29.257138269217865</v>
      </c>
      <c r="F2151" s="14">
        <v>11.58730980524818</v>
      </c>
      <c r="G2151" s="14">
        <v>4.3469571814752745</v>
      </c>
      <c r="H2151" s="14">
        <v>2.372664008360915</v>
      </c>
      <c r="I2151" s="14">
        <v>0.59368810909035707</v>
      </c>
      <c r="J2151" s="14">
        <v>5.9597080291970833E-3</v>
      </c>
    </row>
    <row r="2152" spans="1:10" ht="15.75" x14ac:dyDescent="0.5">
      <c r="A2152" s="13" t="s">
        <v>351</v>
      </c>
      <c r="B2152" s="13" t="s">
        <v>414</v>
      </c>
      <c r="C2152" s="13" t="s">
        <v>400</v>
      </c>
      <c r="D2152" s="14">
        <v>0.68039077051095032</v>
      </c>
      <c r="E2152" s="14">
        <v>25.077627545908715</v>
      </c>
      <c r="F2152" s="14">
        <v>94.464751127042661</v>
      </c>
      <c r="G2152" s="14">
        <v>188.290192051269</v>
      </c>
      <c r="H2152" s="14">
        <v>240.52777179347609</v>
      </c>
      <c r="I2152" s="14">
        <v>241.14098515337656</v>
      </c>
      <c r="J2152" s="14">
        <v>241.57899469616314</v>
      </c>
    </row>
    <row r="2153" spans="1:10" ht="15.75" x14ac:dyDescent="0.5">
      <c r="A2153" s="13" t="s">
        <v>351</v>
      </c>
      <c r="B2153" s="13" t="s">
        <v>415</v>
      </c>
      <c r="C2153" s="13" t="s">
        <v>400</v>
      </c>
      <c r="D2153" s="14">
        <v>440.53124483255556</v>
      </c>
      <c r="E2153" s="14">
        <v>864.39425619270264</v>
      </c>
      <c r="F2153" s="14">
        <v>1326.1881023812953</v>
      </c>
      <c r="G2153" s="14">
        <v>1407.8604364794119</v>
      </c>
      <c r="H2153" s="14">
        <v>1540.488670610923</v>
      </c>
      <c r="I2153" s="14">
        <v>1848.581417182736</v>
      </c>
      <c r="J2153" s="14">
        <v>2541.2240658835472</v>
      </c>
    </row>
    <row r="2154" spans="1:10" ht="15.75" x14ac:dyDescent="0.5">
      <c r="A2154" s="13" t="s">
        <v>351</v>
      </c>
      <c r="B2154" s="13" t="s">
        <v>416</v>
      </c>
      <c r="C2154" s="13" t="s">
        <v>400</v>
      </c>
      <c r="D2154" s="14" t="s">
        <v>250</v>
      </c>
      <c r="E2154" s="14">
        <v>54.174742594980977</v>
      </c>
      <c r="F2154" s="14">
        <v>66.675949052097451</v>
      </c>
      <c r="G2154" s="14">
        <v>76.801435170202112</v>
      </c>
      <c r="H2154" s="14">
        <v>77.990654991853702</v>
      </c>
      <c r="I2154" s="14">
        <v>82.683057309487651</v>
      </c>
      <c r="J2154" s="14">
        <v>94.727837483420984</v>
      </c>
    </row>
    <row r="2155" spans="1:10" ht="15.75" x14ac:dyDescent="0.5">
      <c r="A2155" s="13" t="s">
        <v>351</v>
      </c>
      <c r="B2155" s="13" t="s">
        <v>417</v>
      </c>
      <c r="C2155" s="13" t="s">
        <v>400</v>
      </c>
      <c r="D2155" s="14">
        <v>187.48709633408689</v>
      </c>
      <c r="E2155" s="14">
        <v>300.46762241003177</v>
      </c>
      <c r="F2155" s="14">
        <v>343.46782005660145</v>
      </c>
      <c r="G2155" s="14">
        <v>405.90959221839853</v>
      </c>
      <c r="H2155" s="14">
        <v>525.81638359715066</v>
      </c>
      <c r="I2155" s="14">
        <v>1051.7171305783017</v>
      </c>
      <c r="J2155" s="14">
        <v>1449.3862166923557</v>
      </c>
    </row>
    <row r="2156" spans="1:10" ht="15.75" x14ac:dyDescent="0.5">
      <c r="A2156" s="13" t="s">
        <v>351</v>
      </c>
      <c r="B2156" s="13" t="s">
        <v>418</v>
      </c>
      <c r="C2156" s="13" t="s">
        <v>400</v>
      </c>
      <c r="D2156" s="14">
        <v>3.1841751731019539</v>
      </c>
      <c r="E2156" s="14">
        <v>3.1841751731019534</v>
      </c>
      <c r="F2156" s="14">
        <v>3.184175173101953</v>
      </c>
      <c r="G2156" s="14">
        <v>3.184175173101953</v>
      </c>
      <c r="H2156" s="14">
        <v>3.1841751731019534</v>
      </c>
      <c r="I2156" s="14">
        <v>3.1841751731019534</v>
      </c>
      <c r="J2156" s="14">
        <v>3.1841751731019539</v>
      </c>
    </row>
    <row r="2157" spans="1:10" ht="15.75" x14ac:dyDescent="0.5">
      <c r="A2157" s="13" t="s">
        <v>351</v>
      </c>
      <c r="B2157" s="13" t="s">
        <v>419</v>
      </c>
      <c r="C2157" s="13" t="s">
        <v>400</v>
      </c>
      <c r="D2157" s="14">
        <v>0.54465920264079504</v>
      </c>
      <c r="E2157" s="14">
        <v>8.8191114319218169</v>
      </c>
      <c r="F2157" s="14">
        <v>20.700358639910245</v>
      </c>
      <c r="G2157" s="14">
        <v>18.117546918593714</v>
      </c>
      <c r="H2157" s="14">
        <v>31.152841906449652</v>
      </c>
      <c r="I2157" s="14">
        <v>59.088852735594791</v>
      </c>
      <c r="J2157" s="14">
        <v>257.15131893471721</v>
      </c>
    </row>
    <row r="2158" spans="1:10" ht="15.75" x14ac:dyDescent="0.5">
      <c r="A2158" s="13" t="s">
        <v>351</v>
      </c>
      <c r="B2158" s="13" t="s">
        <v>420</v>
      </c>
      <c r="C2158" s="13" t="s">
        <v>400</v>
      </c>
      <c r="D2158" s="14">
        <v>-13.987252957808405</v>
      </c>
      <c r="E2158" s="14">
        <v>-13.97616485338343</v>
      </c>
      <c r="F2158" s="14">
        <v>-13.29272986848439</v>
      </c>
      <c r="G2158" s="14">
        <v>-12.037177824834043</v>
      </c>
      <c r="H2158" s="14">
        <v>-17.537123878401111</v>
      </c>
      <c r="I2158" s="14">
        <v>-15.677172852748262</v>
      </c>
      <c r="J2158" s="14">
        <v>-14.359256408455645</v>
      </c>
    </row>
    <row r="2159" spans="1:10" ht="15.75" x14ac:dyDescent="0.5">
      <c r="A2159" s="13" t="s">
        <v>352</v>
      </c>
      <c r="B2159" s="13" t="s">
        <v>399</v>
      </c>
      <c r="C2159" s="13" t="s">
        <v>400</v>
      </c>
      <c r="D2159" s="14">
        <v>7.2499064625597898</v>
      </c>
      <c r="E2159" s="14">
        <v>4.2389343065693544E-2</v>
      </c>
      <c r="F2159" s="14">
        <v>0.51246000000000125</v>
      </c>
      <c r="G2159" s="14">
        <v>1.3738707153284699</v>
      </c>
      <c r="H2159" s="14">
        <v>3.2530751636712019</v>
      </c>
      <c r="I2159" s="14">
        <v>3.3449985428705276</v>
      </c>
      <c r="J2159" s="14">
        <v>2.6755225401459906</v>
      </c>
    </row>
    <row r="2160" spans="1:10" ht="15.75" x14ac:dyDescent="0.5">
      <c r="A2160" s="13" t="s">
        <v>352</v>
      </c>
      <c r="B2160" s="13" t="s">
        <v>401</v>
      </c>
      <c r="C2160" s="13" t="s">
        <v>400</v>
      </c>
      <c r="D2160" s="14" t="s">
        <v>250</v>
      </c>
      <c r="E2160" s="14" t="s">
        <v>250</v>
      </c>
      <c r="F2160" s="14">
        <v>103.0534331499863</v>
      </c>
      <c r="G2160" s="14">
        <v>103.05343314998632</v>
      </c>
      <c r="H2160" s="14">
        <v>14.10940955408377</v>
      </c>
      <c r="I2160" s="14">
        <v>13.637506844578168</v>
      </c>
      <c r="J2160" s="14" t="s">
        <v>250</v>
      </c>
    </row>
    <row r="2161" spans="1:10" ht="15.75" x14ac:dyDescent="0.5">
      <c r="A2161" s="13" t="s">
        <v>352</v>
      </c>
      <c r="B2161" s="13" t="s">
        <v>402</v>
      </c>
      <c r="C2161" s="13" t="s">
        <v>400</v>
      </c>
      <c r="D2161" s="14">
        <v>1072.9916742877465</v>
      </c>
      <c r="E2161" s="14">
        <v>277.45358583821667</v>
      </c>
      <c r="F2161" s="14">
        <v>140.99308722984495</v>
      </c>
      <c r="G2161" s="14">
        <v>116.02391666551368</v>
      </c>
      <c r="H2161" s="14">
        <v>85.18353411413203</v>
      </c>
      <c r="I2161" s="14">
        <v>9.7417350783739156</v>
      </c>
      <c r="J2161" s="14" t="s">
        <v>250</v>
      </c>
    </row>
    <row r="2162" spans="1:10" ht="15.75" x14ac:dyDescent="0.5">
      <c r="A2162" s="13" t="s">
        <v>352</v>
      </c>
      <c r="B2162" s="13" t="s">
        <v>403</v>
      </c>
      <c r="C2162" s="13" t="s">
        <v>400</v>
      </c>
      <c r="D2162" s="14" t="s">
        <v>250</v>
      </c>
      <c r="E2162" s="14" t="s">
        <v>250</v>
      </c>
      <c r="F2162" s="14">
        <v>197.27390241179083</v>
      </c>
      <c r="G2162" s="14">
        <v>197.2739024117908</v>
      </c>
      <c r="H2162" s="14">
        <v>40.081344124767796</v>
      </c>
      <c r="I2162" s="14">
        <v>117.74718077951312</v>
      </c>
      <c r="J2162" s="14">
        <v>5.176459200000008</v>
      </c>
    </row>
    <row r="2163" spans="1:10" ht="15.75" x14ac:dyDescent="0.5">
      <c r="A2163" s="13" t="s">
        <v>352</v>
      </c>
      <c r="B2163" s="13" t="s">
        <v>404</v>
      </c>
      <c r="C2163" s="13" t="s">
        <v>400</v>
      </c>
      <c r="D2163" s="14" t="s">
        <v>250</v>
      </c>
      <c r="E2163" s="14" t="s">
        <v>250</v>
      </c>
      <c r="F2163" s="14" t="s">
        <v>250</v>
      </c>
      <c r="G2163" s="14" t="s">
        <v>250</v>
      </c>
      <c r="H2163" s="14" t="s">
        <v>250</v>
      </c>
      <c r="I2163" s="14">
        <v>0.33069896914528535</v>
      </c>
      <c r="J2163" s="14">
        <v>12.043467588390879</v>
      </c>
    </row>
    <row r="2164" spans="1:10" ht="15.75" x14ac:dyDescent="0.5">
      <c r="A2164" s="13" t="s">
        <v>352</v>
      </c>
      <c r="B2164" s="13" t="s">
        <v>421</v>
      </c>
      <c r="C2164" s="13" t="s">
        <v>400</v>
      </c>
      <c r="D2164" s="14" t="s">
        <v>250</v>
      </c>
      <c r="E2164" s="14" t="s">
        <v>250</v>
      </c>
      <c r="F2164" s="14" t="s">
        <v>250</v>
      </c>
      <c r="G2164" s="14">
        <v>846.53885940802104</v>
      </c>
      <c r="H2164" s="14">
        <v>2279.7494927923321</v>
      </c>
      <c r="I2164" s="14">
        <v>2288.3624916547292</v>
      </c>
      <c r="J2164" s="14">
        <v>718.55663691744485</v>
      </c>
    </row>
    <row r="2165" spans="1:10" ht="15.75" x14ac:dyDescent="0.5">
      <c r="A2165" s="13" t="s">
        <v>352</v>
      </c>
      <c r="B2165" s="13" t="s">
        <v>405</v>
      </c>
      <c r="C2165" s="13" t="s">
        <v>400</v>
      </c>
      <c r="D2165" s="14">
        <v>1259.3891290889949</v>
      </c>
      <c r="E2165" s="14">
        <v>1483.1939905377924</v>
      </c>
      <c r="F2165" s="14">
        <v>1397.3177425948713</v>
      </c>
      <c r="G2165" s="14">
        <v>1233.7245675448844</v>
      </c>
      <c r="H2165" s="14">
        <v>856.68591323780868</v>
      </c>
      <c r="I2165" s="14">
        <v>538.29848398604815</v>
      </c>
      <c r="J2165" s="14">
        <v>166.44599247665482</v>
      </c>
    </row>
    <row r="2166" spans="1:10" ht="15.75" x14ac:dyDescent="0.5">
      <c r="A2166" s="13" t="s">
        <v>352</v>
      </c>
      <c r="B2166" s="13" t="s">
        <v>406</v>
      </c>
      <c r="C2166" s="13" t="s">
        <v>400</v>
      </c>
      <c r="D2166" s="14">
        <v>23.479196814299332</v>
      </c>
      <c r="E2166" s="14">
        <v>30.237412676789909</v>
      </c>
      <c r="F2166" s="14">
        <v>45.163783575397503</v>
      </c>
      <c r="G2166" s="14">
        <v>51.351220252244673</v>
      </c>
      <c r="H2166" s="14">
        <v>61.748401285582204</v>
      </c>
      <c r="I2166" s="14">
        <v>84.3958345171784</v>
      </c>
      <c r="J2166" s="14">
        <v>102.60736058218714</v>
      </c>
    </row>
    <row r="2167" spans="1:10" ht="15.75" x14ac:dyDescent="0.5">
      <c r="A2167" s="13" t="s">
        <v>352</v>
      </c>
      <c r="B2167" s="13" t="s">
        <v>407</v>
      </c>
      <c r="C2167" s="13" t="s">
        <v>400</v>
      </c>
      <c r="D2167" s="14" t="s">
        <v>250</v>
      </c>
      <c r="E2167" s="14">
        <v>94.846473975308143</v>
      </c>
      <c r="F2167" s="14">
        <v>72.946469287333201</v>
      </c>
      <c r="G2167" s="14">
        <v>153.72248474856002</v>
      </c>
      <c r="H2167" s="14">
        <v>189.23845422564156</v>
      </c>
      <c r="I2167" s="14">
        <v>406.37948855655674</v>
      </c>
      <c r="J2167" s="14">
        <v>392.21362739583304</v>
      </c>
    </row>
    <row r="2168" spans="1:10" ht="15.75" x14ac:dyDescent="0.5">
      <c r="A2168" s="13" t="s">
        <v>352</v>
      </c>
      <c r="B2168" s="13" t="s">
        <v>408</v>
      </c>
      <c r="C2168" s="13" t="s">
        <v>400</v>
      </c>
      <c r="D2168" s="14">
        <v>46.892290321001212</v>
      </c>
      <c r="E2168" s="14">
        <v>30.187786764361832</v>
      </c>
      <c r="F2168" s="14">
        <v>23.098686099125594</v>
      </c>
      <c r="G2168" s="14">
        <v>30.640212322398003</v>
      </c>
      <c r="H2168" s="14">
        <v>33.524812323942207</v>
      </c>
      <c r="I2168" s="14">
        <v>47.076255901886135</v>
      </c>
      <c r="J2168" s="14">
        <v>46.28937993285485</v>
      </c>
    </row>
    <row r="2169" spans="1:10" ht="15.75" x14ac:dyDescent="0.5">
      <c r="A2169" s="13" t="s">
        <v>352</v>
      </c>
      <c r="B2169" s="13" t="s">
        <v>409</v>
      </c>
      <c r="C2169" s="13" t="s">
        <v>400</v>
      </c>
      <c r="D2169" s="14">
        <v>18.365704270000034</v>
      </c>
      <c r="E2169" s="14">
        <v>18.365704270000027</v>
      </c>
      <c r="F2169" s="14">
        <v>18.36570427000003</v>
      </c>
      <c r="G2169" s="14">
        <v>18.36570427000003</v>
      </c>
      <c r="H2169" s="14">
        <v>18.36570427000003</v>
      </c>
      <c r="I2169" s="14">
        <v>18.365704270000034</v>
      </c>
      <c r="J2169" s="14">
        <v>18.36570427000003</v>
      </c>
    </row>
    <row r="2170" spans="1:10" ht="15.75" x14ac:dyDescent="0.5">
      <c r="A2170" s="13" t="s">
        <v>352</v>
      </c>
      <c r="B2170" s="13" t="s">
        <v>410</v>
      </c>
      <c r="C2170" s="13" t="s">
        <v>400</v>
      </c>
      <c r="D2170" s="14">
        <v>245.79356253202212</v>
      </c>
      <c r="E2170" s="14">
        <v>244.55003869596743</v>
      </c>
      <c r="F2170" s="14">
        <v>245.94675734769535</v>
      </c>
      <c r="G2170" s="14">
        <v>245.99548712913816</v>
      </c>
      <c r="H2170" s="14">
        <v>246.16997594118331</v>
      </c>
      <c r="I2170" s="14">
        <v>246.13960258150104</v>
      </c>
      <c r="J2170" s="14">
        <v>246.12867148854482</v>
      </c>
    </row>
    <row r="2171" spans="1:10" ht="15.75" x14ac:dyDescent="0.5">
      <c r="A2171" s="13" t="s">
        <v>352</v>
      </c>
      <c r="B2171" s="13" t="s">
        <v>411</v>
      </c>
      <c r="C2171" s="13" t="s">
        <v>400</v>
      </c>
      <c r="D2171" s="14">
        <v>7.1394000000000171</v>
      </c>
      <c r="E2171" s="14">
        <v>3.5593489051094975</v>
      </c>
      <c r="F2171" s="14" t="s">
        <v>250</v>
      </c>
      <c r="G2171" s="14" t="s">
        <v>250</v>
      </c>
      <c r="H2171" s="14" t="s">
        <v>250</v>
      </c>
      <c r="I2171" s="14" t="s">
        <v>250</v>
      </c>
      <c r="J2171" s="14" t="s">
        <v>250</v>
      </c>
    </row>
    <row r="2172" spans="1:10" ht="15.75" x14ac:dyDescent="0.5">
      <c r="A2172" s="13" t="s">
        <v>352</v>
      </c>
      <c r="B2172" s="13" t="s">
        <v>412</v>
      </c>
      <c r="C2172" s="13" t="s">
        <v>400</v>
      </c>
      <c r="D2172" s="14">
        <v>760.72545968400141</v>
      </c>
      <c r="E2172" s="14">
        <v>744.80087075075244</v>
      </c>
      <c r="F2172" s="14">
        <v>629.16729627231916</v>
      </c>
      <c r="G2172" s="14">
        <v>703.07650972645069</v>
      </c>
      <c r="H2172" s="14">
        <v>749.35579852964008</v>
      </c>
      <c r="I2172" s="14">
        <v>891.3768311732623</v>
      </c>
      <c r="J2172" s="14">
        <v>2833.9226739365699</v>
      </c>
    </row>
    <row r="2173" spans="1:10" ht="15.75" x14ac:dyDescent="0.5">
      <c r="A2173" s="13" t="s">
        <v>352</v>
      </c>
      <c r="B2173" s="13" t="s">
        <v>413</v>
      </c>
      <c r="C2173" s="13" t="s">
        <v>400</v>
      </c>
      <c r="D2173" s="14">
        <v>23.702927619886136</v>
      </c>
      <c r="E2173" s="14">
        <v>29.03067055629689</v>
      </c>
      <c r="F2173" s="14">
        <v>10.860050104523255</v>
      </c>
      <c r="G2173" s="14">
        <v>4.6120464015149514</v>
      </c>
      <c r="H2173" s="14">
        <v>2.4341479046484449</v>
      </c>
      <c r="I2173" s="14">
        <v>0.68035148373060761</v>
      </c>
      <c r="J2173" s="14" t="s">
        <v>250</v>
      </c>
    </row>
    <row r="2174" spans="1:10" ht="15.75" x14ac:dyDescent="0.5">
      <c r="A2174" s="13" t="s">
        <v>352</v>
      </c>
      <c r="B2174" s="13" t="s">
        <v>414</v>
      </c>
      <c r="C2174" s="13" t="s">
        <v>400</v>
      </c>
      <c r="D2174" s="14">
        <v>0.6803907705109502</v>
      </c>
      <c r="E2174" s="14">
        <v>25.077627588974259</v>
      </c>
      <c r="F2174" s="14">
        <v>94.471731021827594</v>
      </c>
      <c r="G2174" s="14">
        <v>188.30410160624197</v>
      </c>
      <c r="H2174" s="14">
        <v>240.53312500218499</v>
      </c>
      <c r="I2174" s="14">
        <v>241.14635396585854</v>
      </c>
      <c r="J2174" s="14">
        <v>241.58437465419729</v>
      </c>
    </row>
    <row r="2175" spans="1:10" ht="15.75" x14ac:dyDescent="0.5">
      <c r="A2175" s="13" t="s">
        <v>352</v>
      </c>
      <c r="B2175" s="13" t="s">
        <v>415</v>
      </c>
      <c r="C2175" s="13" t="s">
        <v>400</v>
      </c>
      <c r="D2175" s="14">
        <v>440.53124483255561</v>
      </c>
      <c r="E2175" s="14">
        <v>864.39425619270253</v>
      </c>
      <c r="F2175" s="14">
        <v>1325.9917911123882</v>
      </c>
      <c r="G2175" s="14">
        <v>1406.7019658165677</v>
      </c>
      <c r="H2175" s="14">
        <v>1524.4321237046643</v>
      </c>
      <c r="I2175" s="14">
        <v>1753.1517659297772</v>
      </c>
      <c r="J2175" s="14">
        <v>2071.2778349314644</v>
      </c>
    </row>
    <row r="2176" spans="1:10" ht="15.75" x14ac:dyDescent="0.5">
      <c r="A2176" s="13" t="s">
        <v>352</v>
      </c>
      <c r="B2176" s="13" t="s">
        <v>416</v>
      </c>
      <c r="C2176" s="13" t="s">
        <v>400</v>
      </c>
      <c r="D2176" s="14" t="s">
        <v>250</v>
      </c>
      <c r="E2176" s="14">
        <v>54.174742594980998</v>
      </c>
      <c r="F2176" s="14">
        <v>66.675949052097494</v>
      </c>
      <c r="G2176" s="14">
        <v>76.801435170202126</v>
      </c>
      <c r="H2176" s="14">
        <v>77.990654991853674</v>
      </c>
      <c r="I2176" s="14">
        <v>82.683057309487694</v>
      </c>
      <c r="J2176" s="14">
        <v>94.727837483420927</v>
      </c>
    </row>
    <row r="2177" spans="1:10" ht="15.75" x14ac:dyDescent="0.5">
      <c r="A2177" s="13" t="s">
        <v>352</v>
      </c>
      <c r="B2177" s="13" t="s">
        <v>417</v>
      </c>
      <c r="C2177" s="13" t="s">
        <v>400</v>
      </c>
      <c r="D2177" s="14">
        <v>187.48709633408694</v>
      </c>
      <c r="E2177" s="14">
        <v>300.46762241003177</v>
      </c>
      <c r="F2177" s="14">
        <v>343.46782005660157</v>
      </c>
      <c r="G2177" s="14">
        <v>406.21930157049991</v>
      </c>
      <c r="H2177" s="14">
        <v>523.23563563682444</v>
      </c>
      <c r="I2177" s="14">
        <v>1062.8310167325881</v>
      </c>
      <c r="J2177" s="14">
        <v>1433.7660186660967</v>
      </c>
    </row>
    <row r="2178" spans="1:10" ht="15.75" x14ac:dyDescent="0.5">
      <c r="A2178" s="13" t="s">
        <v>352</v>
      </c>
      <c r="B2178" s="13" t="s">
        <v>418</v>
      </c>
      <c r="C2178" s="13" t="s">
        <v>400</v>
      </c>
      <c r="D2178" s="14">
        <v>3.184175173101953</v>
      </c>
      <c r="E2178" s="14">
        <v>3.184175173101953</v>
      </c>
      <c r="F2178" s="14">
        <v>3.1841751731019534</v>
      </c>
      <c r="G2178" s="14">
        <v>3.184175173101953</v>
      </c>
      <c r="H2178" s="14">
        <v>3.184175173101953</v>
      </c>
      <c r="I2178" s="14">
        <v>3.1841751731019534</v>
      </c>
      <c r="J2178" s="14">
        <v>3.1841751731019534</v>
      </c>
    </row>
    <row r="2179" spans="1:10" ht="15.75" x14ac:dyDescent="0.5">
      <c r="A2179" s="13" t="s">
        <v>352</v>
      </c>
      <c r="B2179" s="13" t="s">
        <v>419</v>
      </c>
      <c r="C2179" s="13" t="s">
        <v>400</v>
      </c>
      <c r="D2179" s="14">
        <v>0.54465920264079493</v>
      </c>
      <c r="E2179" s="14">
        <v>8.7969678766678552</v>
      </c>
      <c r="F2179" s="14">
        <v>20.663103094498798</v>
      </c>
      <c r="G2179" s="14">
        <v>18.062280810177111</v>
      </c>
      <c r="H2179" s="14">
        <v>28.310739557140803</v>
      </c>
      <c r="I2179" s="14">
        <v>48.574513850659123</v>
      </c>
      <c r="J2179" s="14">
        <v>97.299502936525087</v>
      </c>
    </row>
    <row r="2180" spans="1:10" ht="15.75" x14ac:dyDescent="0.5">
      <c r="A2180" s="13" t="s">
        <v>352</v>
      </c>
      <c r="B2180" s="13" t="s">
        <v>420</v>
      </c>
      <c r="C2180" s="13" t="s">
        <v>400</v>
      </c>
      <c r="D2180" s="14">
        <v>-13.987252957808341</v>
      </c>
      <c r="E2180" s="14">
        <v>-13.908988464970843</v>
      </c>
      <c r="F2180" s="14">
        <v>-13.242531438052955</v>
      </c>
      <c r="G2180" s="14">
        <v>-12.068129033335486</v>
      </c>
      <c r="H2180" s="14">
        <v>-16.122303282773238</v>
      </c>
      <c r="I2180" s="14">
        <v>-16.368571792841205</v>
      </c>
      <c r="J2180" s="14">
        <v>-13.946967327953358</v>
      </c>
    </row>
    <row r="2181" spans="1:10" ht="15.75" x14ac:dyDescent="0.5">
      <c r="A2181" s="13" t="s">
        <v>353</v>
      </c>
      <c r="B2181" s="13" t="s">
        <v>399</v>
      </c>
      <c r="C2181" s="13" t="s">
        <v>400</v>
      </c>
      <c r="D2181" s="14">
        <v>7.2499064625597889</v>
      </c>
      <c r="E2181" s="14">
        <v>0.29730534306569406</v>
      </c>
      <c r="F2181" s="14">
        <v>0.51246000000000114</v>
      </c>
      <c r="G2181" s="14">
        <v>1.4234477956204408</v>
      </c>
      <c r="H2181" s="14">
        <v>2.3564935135295006</v>
      </c>
      <c r="I2181" s="14">
        <v>1.5520120291970836</v>
      </c>
      <c r="J2181" s="14">
        <v>7.4157326274391033E-2</v>
      </c>
    </row>
    <row r="2182" spans="1:10" ht="15.75" x14ac:dyDescent="0.5">
      <c r="A2182" s="13" t="s">
        <v>353</v>
      </c>
      <c r="B2182" s="13" t="s">
        <v>401</v>
      </c>
      <c r="C2182" s="13" t="s">
        <v>400</v>
      </c>
      <c r="D2182" s="14" t="s">
        <v>250</v>
      </c>
      <c r="E2182" s="14" t="s">
        <v>250</v>
      </c>
      <c r="F2182" s="14">
        <v>108.38372387202534</v>
      </c>
      <c r="G2182" s="14">
        <v>108.3837238720253</v>
      </c>
      <c r="H2182" s="14">
        <v>16.852238912523188</v>
      </c>
      <c r="I2182" s="14">
        <v>15.369446017618206</v>
      </c>
      <c r="J2182" s="14" t="s">
        <v>250</v>
      </c>
    </row>
    <row r="2183" spans="1:10" ht="15.75" x14ac:dyDescent="0.5">
      <c r="A2183" s="13" t="s">
        <v>353</v>
      </c>
      <c r="B2183" s="13" t="s">
        <v>402</v>
      </c>
      <c r="C2183" s="13" t="s">
        <v>400</v>
      </c>
      <c r="D2183" s="14">
        <v>1072.9916742877465</v>
      </c>
      <c r="E2183" s="14">
        <v>277.84605972871259</v>
      </c>
      <c r="F2183" s="14">
        <v>137.07383342234925</v>
      </c>
      <c r="G2183" s="14">
        <v>102.30255110351541</v>
      </c>
      <c r="H2183" s="14">
        <v>63.04983963743382</v>
      </c>
      <c r="I2183" s="14">
        <v>28.67068982946158</v>
      </c>
      <c r="J2183" s="14" t="s">
        <v>250</v>
      </c>
    </row>
    <row r="2184" spans="1:10" ht="15.75" x14ac:dyDescent="0.5">
      <c r="A2184" s="13" t="s">
        <v>353</v>
      </c>
      <c r="B2184" s="13" t="s">
        <v>403</v>
      </c>
      <c r="C2184" s="13" t="s">
        <v>400</v>
      </c>
      <c r="D2184" s="14" t="s">
        <v>250</v>
      </c>
      <c r="E2184" s="14" t="s">
        <v>250</v>
      </c>
      <c r="F2184" s="14">
        <v>284.48993963631341</v>
      </c>
      <c r="G2184" s="14">
        <v>284.48993963631295</v>
      </c>
      <c r="H2184" s="14">
        <v>58.163208527163548</v>
      </c>
      <c r="I2184" s="14">
        <v>63.568779095250335</v>
      </c>
      <c r="J2184" s="14" t="s">
        <v>250</v>
      </c>
    </row>
    <row r="2185" spans="1:10" ht="15.75" x14ac:dyDescent="0.5">
      <c r="A2185" s="13" t="s">
        <v>353</v>
      </c>
      <c r="B2185" s="13" t="s">
        <v>404</v>
      </c>
      <c r="C2185" s="13" t="s">
        <v>400</v>
      </c>
      <c r="D2185" s="14" t="s">
        <v>250</v>
      </c>
      <c r="E2185" s="14" t="s">
        <v>250</v>
      </c>
      <c r="F2185" s="14" t="s">
        <v>250</v>
      </c>
      <c r="G2185" s="14" t="s">
        <v>250</v>
      </c>
      <c r="H2185" s="14" t="s">
        <v>250</v>
      </c>
      <c r="I2185" s="14">
        <v>0.3306989691452854</v>
      </c>
      <c r="J2185" s="14">
        <v>9.8848368631574957</v>
      </c>
    </row>
    <row r="2186" spans="1:10" ht="15.75" x14ac:dyDescent="0.5">
      <c r="A2186" s="13" t="s">
        <v>353</v>
      </c>
      <c r="B2186" s="13" t="s">
        <v>421</v>
      </c>
      <c r="C2186" s="13" t="s">
        <v>400</v>
      </c>
      <c r="D2186" s="14" t="s">
        <v>250</v>
      </c>
      <c r="E2186" s="14" t="s">
        <v>250</v>
      </c>
      <c r="F2186" s="14" t="s">
        <v>250</v>
      </c>
      <c r="G2186" s="14">
        <v>667.21856929351316</v>
      </c>
      <c r="H2186" s="14">
        <v>1799.5118176700316</v>
      </c>
      <c r="I2186" s="14">
        <v>1799.7636269719965</v>
      </c>
      <c r="J2186" s="14">
        <v>310.05343159803363</v>
      </c>
    </row>
    <row r="2187" spans="1:10" ht="15.75" x14ac:dyDescent="0.5">
      <c r="A2187" s="13" t="s">
        <v>353</v>
      </c>
      <c r="B2187" s="13" t="s">
        <v>405</v>
      </c>
      <c r="C2187" s="13" t="s">
        <v>400</v>
      </c>
      <c r="D2187" s="14">
        <v>1259.3891290889937</v>
      </c>
      <c r="E2187" s="14">
        <v>1474.6804469504721</v>
      </c>
      <c r="F2187" s="14">
        <v>1296.5860202328911</v>
      </c>
      <c r="G2187" s="14">
        <v>1274.4977436867168</v>
      </c>
      <c r="H2187" s="14">
        <v>948.15438316853306</v>
      </c>
      <c r="I2187" s="14">
        <v>533.53394800172623</v>
      </c>
      <c r="J2187" s="14">
        <v>201.53488930997591</v>
      </c>
    </row>
    <row r="2188" spans="1:10" ht="15.75" x14ac:dyDescent="0.5">
      <c r="A2188" s="13" t="s">
        <v>353</v>
      </c>
      <c r="B2188" s="13" t="s">
        <v>406</v>
      </c>
      <c r="C2188" s="13" t="s">
        <v>400</v>
      </c>
      <c r="D2188" s="14">
        <v>23.479196814299335</v>
      </c>
      <c r="E2188" s="14">
        <v>30.13241859559794</v>
      </c>
      <c r="F2188" s="14">
        <v>44.530853465629228</v>
      </c>
      <c r="G2188" s="14">
        <v>51.831079628558307</v>
      </c>
      <c r="H2188" s="14">
        <v>59.89789240991545</v>
      </c>
      <c r="I2188" s="14">
        <v>67.570891020688364</v>
      </c>
      <c r="J2188" s="14">
        <v>85.090742165691296</v>
      </c>
    </row>
    <row r="2189" spans="1:10" ht="15.75" x14ac:dyDescent="0.5">
      <c r="A2189" s="13" t="s">
        <v>353</v>
      </c>
      <c r="B2189" s="13" t="s">
        <v>407</v>
      </c>
      <c r="C2189" s="13" t="s">
        <v>400</v>
      </c>
      <c r="D2189" s="14" t="s">
        <v>250</v>
      </c>
      <c r="E2189" s="14">
        <v>96.560105524164697</v>
      </c>
      <c r="F2189" s="14">
        <v>72.795278712929957</v>
      </c>
      <c r="G2189" s="14">
        <v>195.2376428029348</v>
      </c>
      <c r="H2189" s="14">
        <v>161.40342628449022</v>
      </c>
      <c r="I2189" s="14">
        <v>142.44326100466145</v>
      </c>
      <c r="J2189" s="14">
        <v>117.56525259546117</v>
      </c>
    </row>
    <row r="2190" spans="1:10" ht="15.75" x14ac:dyDescent="0.5">
      <c r="A2190" s="13" t="s">
        <v>353</v>
      </c>
      <c r="B2190" s="13" t="s">
        <v>408</v>
      </c>
      <c r="C2190" s="13" t="s">
        <v>400</v>
      </c>
      <c r="D2190" s="14">
        <v>46.892290321001241</v>
      </c>
      <c r="E2190" s="14">
        <v>30.199269019440266</v>
      </c>
      <c r="F2190" s="14">
        <v>22.57143423586469</v>
      </c>
      <c r="G2190" s="14">
        <v>37.540242162390136</v>
      </c>
      <c r="H2190" s="14">
        <v>44.589275300438679</v>
      </c>
      <c r="I2190" s="14">
        <v>44.023354052725267</v>
      </c>
      <c r="J2190" s="14">
        <v>34.777314136176237</v>
      </c>
    </row>
    <row r="2191" spans="1:10" ht="15.75" x14ac:dyDescent="0.5">
      <c r="A2191" s="13" t="s">
        <v>353</v>
      </c>
      <c r="B2191" s="13" t="s">
        <v>409</v>
      </c>
      <c r="C2191" s="13" t="s">
        <v>400</v>
      </c>
      <c r="D2191" s="14">
        <v>18.365704270000037</v>
      </c>
      <c r="E2191" s="14">
        <v>18.365704270000034</v>
      </c>
      <c r="F2191" s="14">
        <v>18.365704270000034</v>
      </c>
      <c r="G2191" s="14">
        <v>18.365704270000034</v>
      </c>
      <c r="H2191" s="14">
        <v>18.365704270000037</v>
      </c>
      <c r="I2191" s="14">
        <v>18.36570427000003</v>
      </c>
      <c r="J2191" s="14">
        <v>18.36570427000003</v>
      </c>
    </row>
    <row r="2192" spans="1:10" ht="15.75" x14ac:dyDescent="0.5">
      <c r="A2192" s="13" t="s">
        <v>353</v>
      </c>
      <c r="B2192" s="13" t="s">
        <v>410</v>
      </c>
      <c r="C2192" s="13" t="s">
        <v>400</v>
      </c>
      <c r="D2192" s="14">
        <v>245.79356253202215</v>
      </c>
      <c r="E2192" s="14">
        <v>244.56462321959816</v>
      </c>
      <c r="F2192" s="14">
        <v>245.8620812381256</v>
      </c>
      <c r="G2192" s="14">
        <v>246.1695328024131</v>
      </c>
      <c r="H2192" s="14">
        <v>246.16997594139113</v>
      </c>
      <c r="I2192" s="14">
        <v>246.16917280241293</v>
      </c>
      <c r="J2192" s="14">
        <v>246.16917280243447</v>
      </c>
    </row>
    <row r="2193" spans="1:10" ht="15.75" x14ac:dyDescent="0.5">
      <c r="A2193" s="13" t="s">
        <v>353</v>
      </c>
      <c r="B2193" s="13" t="s">
        <v>411</v>
      </c>
      <c r="C2193" s="13" t="s">
        <v>400</v>
      </c>
      <c r="D2193" s="14">
        <v>7.1394000000000144</v>
      </c>
      <c r="E2193" s="14">
        <v>3.5593489051094984</v>
      </c>
      <c r="F2193" s="14" t="s">
        <v>250</v>
      </c>
      <c r="G2193" s="14" t="s">
        <v>250</v>
      </c>
      <c r="H2193" s="14" t="s">
        <v>250</v>
      </c>
      <c r="I2193" s="14" t="s">
        <v>250</v>
      </c>
      <c r="J2193" s="14" t="s">
        <v>250</v>
      </c>
    </row>
    <row r="2194" spans="1:10" ht="15.75" x14ac:dyDescent="0.5">
      <c r="A2194" s="13" t="s">
        <v>353</v>
      </c>
      <c r="B2194" s="13" t="s">
        <v>412</v>
      </c>
      <c r="C2194" s="13" t="s">
        <v>400</v>
      </c>
      <c r="D2194" s="14">
        <v>760.72545968400163</v>
      </c>
      <c r="E2194" s="14">
        <v>751.46891793982195</v>
      </c>
      <c r="F2194" s="14">
        <v>652.35626408840938</v>
      </c>
      <c r="G2194" s="14">
        <v>774.71133464509467</v>
      </c>
      <c r="H2194" s="14">
        <v>1307.9734944522224</v>
      </c>
      <c r="I2194" s="14">
        <v>2509.3596689740816</v>
      </c>
      <c r="J2194" s="14">
        <v>4590.8949962719198</v>
      </c>
    </row>
    <row r="2195" spans="1:10" ht="15.75" x14ac:dyDescent="0.5">
      <c r="A2195" s="13" t="s">
        <v>353</v>
      </c>
      <c r="B2195" s="13" t="s">
        <v>413</v>
      </c>
      <c r="C2195" s="13" t="s">
        <v>400</v>
      </c>
      <c r="D2195" s="14">
        <v>23.702927619886133</v>
      </c>
      <c r="E2195" s="14">
        <v>28.733916159105039</v>
      </c>
      <c r="F2195" s="14">
        <v>10.964226405587134</v>
      </c>
      <c r="G2195" s="14">
        <v>4.2450737449576863</v>
      </c>
      <c r="H2195" s="14">
        <v>2.1602628762029292</v>
      </c>
      <c r="I2195" s="14">
        <v>0.77187631625416098</v>
      </c>
      <c r="J2195" s="14" t="s">
        <v>250</v>
      </c>
    </row>
    <row r="2196" spans="1:10" ht="15.75" x14ac:dyDescent="0.5">
      <c r="A2196" s="13" t="s">
        <v>353</v>
      </c>
      <c r="B2196" s="13" t="s">
        <v>414</v>
      </c>
      <c r="C2196" s="13" t="s">
        <v>400</v>
      </c>
      <c r="D2196" s="14">
        <v>0.6803907705109502</v>
      </c>
      <c r="E2196" s="14">
        <v>25.041963227915634</v>
      </c>
      <c r="F2196" s="14">
        <v>94.40813675266017</v>
      </c>
      <c r="G2196" s="14">
        <v>188.39394089162897</v>
      </c>
      <c r="H2196" s="14">
        <v>240.62124361595195</v>
      </c>
      <c r="I2196" s="14">
        <v>241.23472943171646</v>
      </c>
      <c r="J2196" s="14">
        <v>241.67293358583444</v>
      </c>
    </row>
    <row r="2197" spans="1:10" ht="15.75" x14ac:dyDescent="0.5">
      <c r="A2197" s="13" t="s">
        <v>353</v>
      </c>
      <c r="B2197" s="13" t="s">
        <v>415</v>
      </c>
      <c r="C2197" s="13" t="s">
        <v>400</v>
      </c>
      <c r="D2197" s="14">
        <v>440.53124483255556</v>
      </c>
      <c r="E2197" s="14">
        <v>864.13933988819645</v>
      </c>
      <c r="F2197" s="14">
        <v>1317.4758202594655</v>
      </c>
      <c r="G2197" s="14">
        <v>1370.0028839318909</v>
      </c>
      <c r="H2197" s="14">
        <v>1443.7698622161977</v>
      </c>
      <c r="I2197" s="14">
        <v>1485.1204710256998</v>
      </c>
      <c r="J2197" s="14">
        <v>1494.6574264655774</v>
      </c>
    </row>
    <row r="2198" spans="1:10" ht="15.75" x14ac:dyDescent="0.5">
      <c r="A2198" s="13" t="s">
        <v>353</v>
      </c>
      <c r="B2198" s="13" t="s">
        <v>416</v>
      </c>
      <c r="C2198" s="13" t="s">
        <v>400</v>
      </c>
      <c r="D2198" s="14" t="s">
        <v>250</v>
      </c>
      <c r="E2198" s="14">
        <v>54.174742594980998</v>
      </c>
      <c r="F2198" s="14">
        <v>66.675949052097536</v>
      </c>
      <c r="G2198" s="14">
        <v>76.801435170202097</v>
      </c>
      <c r="H2198" s="14">
        <v>77.990654991853759</v>
      </c>
      <c r="I2198" s="14">
        <v>82.683057309487623</v>
      </c>
      <c r="J2198" s="14">
        <v>94.727837483420956</v>
      </c>
    </row>
    <row r="2199" spans="1:10" ht="15.75" x14ac:dyDescent="0.5">
      <c r="A2199" s="13" t="s">
        <v>353</v>
      </c>
      <c r="B2199" s="13" t="s">
        <v>417</v>
      </c>
      <c r="C2199" s="13" t="s">
        <v>400</v>
      </c>
      <c r="D2199" s="14">
        <v>187.48709633408691</v>
      </c>
      <c r="E2199" s="14">
        <v>300.46762241003182</v>
      </c>
      <c r="F2199" s="14">
        <v>343.71990075813744</v>
      </c>
      <c r="G2199" s="14">
        <v>378.2543878174572</v>
      </c>
      <c r="H2199" s="14">
        <v>433.28553010044919</v>
      </c>
      <c r="I2199" s="14">
        <v>538.18193794935394</v>
      </c>
      <c r="J2199" s="14">
        <v>942.80916257888373</v>
      </c>
    </row>
    <row r="2200" spans="1:10" ht="15.75" x14ac:dyDescent="0.5">
      <c r="A2200" s="13" t="s">
        <v>353</v>
      </c>
      <c r="B2200" s="13" t="s">
        <v>418</v>
      </c>
      <c r="C2200" s="13" t="s">
        <v>400</v>
      </c>
      <c r="D2200" s="14">
        <v>3.184175173101953</v>
      </c>
      <c r="E2200" s="14">
        <v>3.184175173101953</v>
      </c>
      <c r="F2200" s="14">
        <v>3.1841751731019539</v>
      </c>
      <c r="G2200" s="14">
        <v>3.184175173101953</v>
      </c>
      <c r="H2200" s="14">
        <v>3.1841751731019534</v>
      </c>
      <c r="I2200" s="14">
        <v>3.1841751731019534</v>
      </c>
      <c r="J2200" s="14">
        <v>3.184175173101953</v>
      </c>
    </row>
    <row r="2201" spans="1:10" ht="15.75" x14ac:dyDescent="0.5">
      <c r="A2201" s="13" t="s">
        <v>353</v>
      </c>
      <c r="B2201" s="13" t="s">
        <v>419</v>
      </c>
      <c r="C2201" s="13" t="s">
        <v>400</v>
      </c>
      <c r="D2201" s="14">
        <v>0.54465920264079504</v>
      </c>
      <c r="E2201" s="14">
        <v>8.938556827671384</v>
      </c>
      <c r="F2201" s="14">
        <v>20.300196453176213</v>
      </c>
      <c r="G2201" s="14">
        <v>18.168638620515384</v>
      </c>
      <c r="H2201" s="14">
        <v>21.008455229150385</v>
      </c>
      <c r="I2201" s="14">
        <v>28.237233525638736</v>
      </c>
      <c r="J2201" s="14">
        <v>76.972530204076548</v>
      </c>
    </row>
    <row r="2202" spans="1:10" ht="15.75" x14ac:dyDescent="0.5">
      <c r="A2202" s="13" t="s">
        <v>353</v>
      </c>
      <c r="B2202" s="13" t="s">
        <v>420</v>
      </c>
      <c r="C2202" s="13" t="s">
        <v>400</v>
      </c>
      <c r="D2202" s="14">
        <v>-13.987252957808362</v>
      </c>
      <c r="E2202" s="14">
        <v>-14.03102217228113</v>
      </c>
      <c r="F2202" s="14">
        <v>-14.18452646914054</v>
      </c>
      <c r="G2202" s="14">
        <v>-12.289469405623795</v>
      </c>
      <c r="H2202" s="14">
        <v>-13.31464002044555</v>
      </c>
      <c r="I2202" s="14">
        <v>-14.864613550352177</v>
      </c>
      <c r="J2202" s="14">
        <v>-19.6007798420322</v>
      </c>
    </row>
    <row r="2203" spans="1:10" ht="15.75" x14ac:dyDescent="0.5">
      <c r="A2203" s="13" t="s">
        <v>354</v>
      </c>
      <c r="B2203" s="13" t="s">
        <v>399</v>
      </c>
      <c r="C2203" s="13" t="s">
        <v>400</v>
      </c>
      <c r="D2203" s="14">
        <v>7.2499064625597898</v>
      </c>
      <c r="E2203" s="14">
        <v>4.2389343065693544E-2</v>
      </c>
      <c r="F2203" s="14">
        <v>0.51246000000000103</v>
      </c>
      <c r="G2203" s="14">
        <v>1.4715840000000022</v>
      </c>
      <c r="H2203" s="14">
        <v>2.5979300527347347</v>
      </c>
      <c r="I2203" s="14">
        <v>2.7295612093754986</v>
      </c>
      <c r="J2203" s="14">
        <v>3.6637231082094757</v>
      </c>
    </row>
    <row r="2204" spans="1:10" ht="15.75" x14ac:dyDescent="0.5">
      <c r="A2204" s="13" t="s">
        <v>354</v>
      </c>
      <c r="B2204" s="13" t="s">
        <v>401</v>
      </c>
      <c r="C2204" s="13" t="s">
        <v>400</v>
      </c>
      <c r="D2204" s="14" t="s">
        <v>250</v>
      </c>
      <c r="E2204" s="14" t="s">
        <v>250</v>
      </c>
      <c r="F2204" s="14">
        <v>92.405913398146339</v>
      </c>
      <c r="G2204" s="14">
        <v>92.405913398146325</v>
      </c>
      <c r="H2204" s="14">
        <v>8.1450769248762747</v>
      </c>
      <c r="I2204" s="14">
        <v>8.0231983866104208</v>
      </c>
      <c r="J2204" s="14" t="s">
        <v>250</v>
      </c>
    </row>
    <row r="2205" spans="1:10" ht="15.75" x14ac:dyDescent="0.5">
      <c r="A2205" s="13" t="s">
        <v>354</v>
      </c>
      <c r="B2205" s="13" t="s">
        <v>402</v>
      </c>
      <c r="C2205" s="13" t="s">
        <v>400</v>
      </c>
      <c r="D2205" s="14">
        <v>1072.9916742877463</v>
      </c>
      <c r="E2205" s="14">
        <v>283.02596540930733</v>
      </c>
      <c r="F2205" s="14">
        <v>147.15581395826061</v>
      </c>
      <c r="G2205" s="14">
        <v>135.58920180209887</v>
      </c>
      <c r="H2205" s="14">
        <v>84.29354162443687</v>
      </c>
      <c r="I2205" s="14">
        <v>19.755605877403625</v>
      </c>
      <c r="J2205" s="14" t="s">
        <v>250</v>
      </c>
    </row>
    <row r="2206" spans="1:10" ht="15.75" x14ac:dyDescent="0.5">
      <c r="A2206" s="13" t="s">
        <v>354</v>
      </c>
      <c r="B2206" s="13" t="s">
        <v>403</v>
      </c>
      <c r="C2206" s="13" t="s">
        <v>400</v>
      </c>
      <c r="D2206" s="14" t="s">
        <v>250</v>
      </c>
      <c r="E2206" s="14" t="s">
        <v>250</v>
      </c>
      <c r="F2206" s="14">
        <v>85.101176522429398</v>
      </c>
      <c r="G2206" s="14">
        <v>85.101176522429427</v>
      </c>
      <c r="H2206" s="14">
        <v>17.21144397725682</v>
      </c>
      <c r="I2206" s="14">
        <v>22.74309255785781</v>
      </c>
      <c r="J2206" s="14" t="s">
        <v>250</v>
      </c>
    </row>
    <row r="2207" spans="1:10" ht="15.75" x14ac:dyDescent="0.5">
      <c r="A2207" s="13" t="s">
        <v>354</v>
      </c>
      <c r="B2207" s="13" t="s">
        <v>404</v>
      </c>
      <c r="C2207" s="13" t="s">
        <v>400</v>
      </c>
      <c r="D2207" s="14" t="s">
        <v>250</v>
      </c>
      <c r="E2207" s="14" t="s">
        <v>250</v>
      </c>
      <c r="F2207" s="14" t="s">
        <v>250</v>
      </c>
      <c r="G2207" s="14" t="s">
        <v>250</v>
      </c>
      <c r="H2207" s="14" t="s">
        <v>250</v>
      </c>
      <c r="I2207" s="14">
        <v>0.33069896914528529</v>
      </c>
      <c r="J2207" s="14">
        <v>124.99820413852301</v>
      </c>
    </row>
    <row r="2208" spans="1:10" ht="15.75" x14ac:dyDescent="0.5">
      <c r="A2208" s="13" t="s">
        <v>354</v>
      </c>
      <c r="B2208" s="13" t="s">
        <v>421</v>
      </c>
      <c r="C2208" s="13" t="s">
        <v>400</v>
      </c>
      <c r="D2208" s="14" t="s">
        <v>250</v>
      </c>
      <c r="E2208" s="14" t="s">
        <v>250</v>
      </c>
      <c r="F2208" s="14" t="s">
        <v>250</v>
      </c>
      <c r="G2208" s="14">
        <v>1041.0001604905312</v>
      </c>
      <c r="H2208" s="14">
        <v>2744.3204481245257</v>
      </c>
      <c r="I2208" s="14">
        <v>2803.9634879082982</v>
      </c>
      <c r="J2208" s="14">
        <v>2243.5840377282916</v>
      </c>
    </row>
    <row r="2209" spans="1:10" ht="15.75" x14ac:dyDescent="0.5">
      <c r="A2209" s="13" t="s">
        <v>354</v>
      </c>
      <c r="B2209" s="13" t="s">
        <v>405</v>
      </c>
      <c r="C2209" s="13" t="s">
        <v>400</v>
      </c>
      <c r="D2209" s="14">
        <v>1259.3891290889935</v>
      </c>
      <c r="E2209" s="14">
        <v>1474.6238805472462</v>
      </c>
      <c r="F2209" s="14">
        <v>1477.7654866868095</v>
      </c>
      <c r="G2209" s="14">
        <v>1183.4824122032157</v>
      </c>
      <c r="H2209" s="14">
        <v>540.11782142042932</v>
      </c>
      <c r="I2209" s="14">
        <v>507.94602042215183</v>
      </c>
      <c r="J2209" s="14">
        <v>103.65518854660149</v>
      </c>
    </row>
    <row r="2210" spans="1:10" ht="15.75" x14ac:dyDescent="0.5">
      <c r="A2210" s="13" t="s">
        <v>354</v>
      </c>
      <c r="B2210" s="13" t="s">
        <v>406</v>
      </c>
      <c r="C2210" s="13" t="s">
        <v>400</v>
      </c>
      <c r="D2210" s="14">
        <v>23.479196814299325</v>
      </c>
      <c r="E2210" s="14">
        <v>32.330319581241135</v>
      </c>
      <c r="F2210" s="14">
        <v>47.099992939071221</v>
      </c>
      <c r="G2210" s="14">
        <v>52.461019283845765</v>
      </c>
      <c r="H2210" s="14">
        <v>58.032340833638756</v>
      </c>
      <c r="I2210" s="14">
        <v>83.620674763468429</v>
      </c>
      <c r="J2210" s="14">
        <v>115.9006789904721</v>
      </c>
    </row>
    <row r="2211" spans="1:10" ht="15.75" x14ac:dyDescent="0.5">
      <c r="A2211" s="13" t="s">
        <v>354</v>
      </c>
      <c r="B2211" s="13" t="s">
        <v>407</v>
      </c>
      <c r="C2211" s="13" t="s">
        <v>400</v>
      </c>
      <c r="D2211" s="14" t="s">
        <v>250</v>
      </c>
      <c r="E2211" s="14">
        <v>94.449674839428354</v>
      </c>
      <c r="F2211" s="14">
        <v>107.50098583623809</v>
      </c>
      <c r="G2211" s="14">
        <v>131.40069098475269</v>
      </c>
      <c r="H2211" s="14">
        <v>159.22524513982154</v>
      </c>
      <c r="I2211" s="14">
        <v>337.83185582784392</v>
      </c>
      <c r="J2211" s="14">
        <v>505.43102319467624</v>
      </c>
    </row>
    <row r="2212" spans="1:10" ht="15.75" x14ac:dyDescent="0.5">
      <c r="A2212" s="13" t="s">
        <v>354</v>
      </c>
      <c r="B2212" s="13" t="s">
        <v>408</v>
      </c>
      <c r="C2212" s="13" t="s">
        <v>400</v>
      </c>
      <c r="D2212" s="14">
        <v>46.892290321001241</v>
      </c>
      <c r="E2212" s="14">
        <v>30.594292774475143</v>
      </c>
      <c r="F2212" s="14">
        <v>23.208027924547086</v>
      </c>
      <c r="G2212" s="14">
        <v>28.946844421707645</v>
      </c>
      <c r="H2212" s="14">
        <v>18.257945399787658</v>
      </c>
      <c r="I2212" s="14">
        <v>45.413985761983653</v>
      </c>
      <c r="J2212" s="14">
        <v>46.428308661079832</v>
      </c>
    </row>
    <row r="2213" spans="1:10" ht="15.75" x14ac:dyDescent="0.5">
      <c r="A2213" s="13" t="s">
        <v>354</v>
      </c>
      <c r="B2213" s="13" t="s">
        <v>409</v>
      </c>
      <c r="C2213" s="13" t="s">
        <v>400</v>
      </c>
      <c r="D2213" s="14">
        <v>18.365704270000034</v>
      </c>
      <c r="E2213" s="14">
        <v>18.365704270000034</v>
      </c>
      <c r="F2213" s="14">
        <v>18.365704270000037</v>
      </c>
      <c r="G2213" s="14">
        <v>18.365704270000034</v>
      </c>
      <c r="H2213" s="14">
        <v>18.365704270000037</v>
      </c>
      <c r="I2213" s="14">
        <v>18.36570427000003</v>
      </c>
      <c r="J2213" s="14">
        <v>18.365704270000041</v>
      </c>
    </row>
    <row r="2214" spans="1:10" ht="15.75" x14ac:dyDescent="0.5">
      <c r="A2214" s="13" t="s">
        <v>354</v>
      </c>
      <c r="B2214" s="13" t="s">
        <v>410</v>
      </c>
      <c r="C2214" s="13" t="s">
        <v>400</v>
      </c>
      <c r="D2214" s="14">
        <v>245.79356253202207</v>
      </c>
      <c r="E2214" s="14">
        <v>244.57459450430184</v>
      </c>
      <c r="F2214" s="14">
        <v>246.0871154380564</v>
      </c>
      <c r="G2214" s="14">
        <v>245.97046806973472</v>
      </c>
      <c r="H2214" s="14">
        <v>246.16997594139386</v>
      </c>
      <c r="I2214" s="14">
        <v>246.11486703631874</v>
      </c>
      <c r="J2214" s="14">
        <v>246.07579783920411</v>
      </c>
    </row>
    <row r="2215" spans="1:10" ht="15.75" x14ac:dyDescent="0.5">
      <c r="A2215" s="13" t="s">
        <v>354</v>
      </c>
      <c r="B2215" s="13" t="s">
        <v>411</v>
      </c>
      <c r="C2215" s="13" t="s">
        <v>400</v>
      </c>
      <c r="D2215" s="14">
        <v>7.1394000000000171</v>
      </c>
      <c r="E2215" s="14">
        <v>3.5593489051094971</v>
      </c>
      <c r="F2215" s="14" t="s">
        <v>250</v>
      </c>
      <c r="G2215" s="14" t="s">
        <v>250</v>
      </c>
      <c r="H2215" s="14" t="s">
        <v>250</v>
      </c>
      <c r="I2215" s="14" t="s">
        <v>250</v>
      </c>
      <c r="J2215" s="14" t="s">
        <v>250</v>
      </c>
    </row>
    <row r="2216" spans="1:10" ht="15.75" x14ac:dyDescent="0.5">
      <c r="A2216" s="13" t="s">
        <v>354</v>
      </c>
      <c r="B2216" s="13" t="s">
        <v>412</v>
      </c>
      <c r="C2216" s="13" t="s">
        <v>400</v>
      </c>
      <c r="D2216" s="14">
        <v>760.72545968400175</v>
      </c>
      <c r="E2216" s="14">
        <v>744.5174130840461</v>
      </c>
      <c r="F2216" s="14">
        <v>622.12922701609227</v>
      </c>
      <c r="G2216" s="14">
        <v>689.27524709039631</v>
      </c>
      <c r="H2216" s="14">
        <v>688.69118332358084</v>
      </c>
      <c r="I2216" s="14">
        <v>733.81846008942739</v>
      </c>
      <c r="J2216" s="14">
        <v>793.13155417155986</v>
      </c>
    </row>
    <row r="2217" spans="1:10" ht="15.75" x14ac:dyDescent="0.5">
      <c r="A2217" s="13" t="s">
        <v>354</v>
      </c>
      <c r="B2217" s="13" t="s">
        <v>413</v>
      </c>
      <c r="C2217" s="13" t="s">
        <v>400</v>
      </c>
      <c r="D2217" s="14">
        <v>23.702927619886129</v>
      </c>
      <c r="E2217" s="14">
        <v>30.057063904744979</v>
      </c>
      <c r="F2217" s="14">
        <v>14.252951394077122</v>
      </c>
      <c r="G2217" s="14">
        <v>4.3878107155413675</v>
      </c>
      <c r="H2217" s="14">
        <v>1.3768596994183513</v>
      </c>
      <c r="I2217" s="14">
        <v>0.4500577100237223</v>
      </c>
      <c r="J2217" s="14">
        <v>5.9597080291970833E-3</v>
      </c>
    </row>
    <row r="2218" spans="1:10" ht="15.75" x14ac:dyDescent="0.5">
      <c r="A2218" s="13" t="s">
        <v>354</v>
      </c>
      <c r="B2218" s="13" t="s">
        <v>414</v>
      </c>
      <c r="C2218" s="13" t="s">
        <v>400</v>
      </c>
      <c r="D2218" s="14">
        <v>0.68039077051095032</v>
      </c>
      <c r="E2218" s="14">
        <v>25.074093263890191</v>
      </c>
      <c r="F2218" s="14">
        <v>94.500480835075535</v>
      </c>
      <c r="G2218" s="14">
        <v>188.36467200455192</v>
      </c>
      <c r="H2218" s="14">
        <v>240.51953882890447</v>
      </c>
      <c r="I2218" s="14">
        <v>241.13272819099026</v>
      </c>
      <c r="J2218" s="14">
        <v>241.5707205924806</v>
      </c>
    </row>
    <row r="2219" spans="1:10" ht="15.75" x14ac:dyDescent="0.5">
      <c r="A2219" s="13" t="s">
        <v>354</v>
      </c>
      <c r="B2219" s="13" t="s">
        <v>415</v>
      </c>
      <c r="C2219" s="13" t="s">
        <v>400</v>
      </c>
      <c r="D2219" s="14">
        <v>440.53124483255556</v>
      </c>
      <c r="E2219" s="14">
        <v>864.39425631419022</v>
      </c>
      <c r="F2219" s="14">
        <v>1325.8138029841048</v>
      </c>
      <c r="G2219" s="14">
        <v>1403.4038367553478</v>
      </c>
      <c r="H2219" s="14">
        <v>1525.1395908462418</v>
      </c>
      <c r="I2219" s="14">
        <v>1721.3287586873407</v>
      </c>
      <c r="J2219" s="14">
        <v>2405.5632850340762</v>
      </c>
    </row>
    <row r="2220" spans="1:10" ht="15.75" x14ac:dyDescent="0.5">
      <c r="A2220" s="13" t="s">
        <v>354</v>
      </c>
      <c r="B2220" s="13" t="s">
        <v>416</v>
      </c>
      <c r="C2220" s="13" t="s">
        <v>400</v>
      </c>
      <c r="D2220" s="14" t="s">
        <v>250</v>
      </c>
      <c r="E2220" s="14">
        <v>54.174742594980984</v>
      </c>
      <c r="F2220" s="14">
        <v>66.675949052097494</v>
      </c>
      <c r="G2220" s="14">
        <v>76.801435170202055</v>
      </c>
      <c r="H2220" s="14">
        <v>77.990654991853717</v>
      </c>
      <c r="I2220" s="14">
        <v>82.683057309487666</v>
      </c>
      <c r="J2220" s="14">
        <v>94.727837483420956</v>
      </c>
    </row>
    <row r="2221" spans="1:10" ht="15.75" x14ac:dyDescent="0.5">
      <c r="A2221" s="13" t="s">
        <v>354</v>
      </c>
      <c r="B2221" s="13" t="s">
        <v>417</v>
      </c>
      <c r="C2221" s="13" t="s">
        <v>400</v>
      </c>
      <c r="D2221" s="14">
        <v>187.48709633408691</v>
      </c>
      <c r="E2221" s="14">
        <v>300.46762241003171</v>
      </c>
      <c r="F2221" s="14">
        <v>343.21071830874558</v>
      </c>
      <c r="G2221" s="14">
        <v>409.33104900227875</v>
      </c>
      <c r="H2221" s="14">
        <v>531.0500055823253</v>
      </c>
      <c r="I2221" s="14">
        <v>946.55682894722008</v>
      </c>
      <c r="J2221" s="14">
        <v>1455.6456883924548</v>
      </c>
    </row>
    <row r="2222" spans="1:10" ht="15.75" x14ac:dyDescent="0.5">
      <c r="A2222" s="13" t="s">
        <v>354</v>
      </c>
      <c r="B2222" s="13" t="s">
        <v>418</v>
      </c>
      <c r="C2222" s="13" t="s">
        <v>400</v>
      </c>
      <c r="D2222" s="14">
        <v>3.1841751731019534</v>
      </c>
      <c r="E2222" s="14">
        <v>3.1841751731019539</v>
      </c>
      <c r="F2222" s="14">
        <v>3.184175173101953</v>
      </c>
      <c r="G2222" s="14">
        <v>3.1841751731019534</v>
      </c>
      <c r="H2222" s="14">
        <v>3.1841751731019525</v>
      </c>
      <c r="I2222" s="14">
        <v>3.1841751731019534</v>
      </c>
      <c r="J2222" s="14">
        <v>3.184175173101953</v>
      </c>
    </row>
    <row r="2223" spans="1:10" ht="15.75" x14ac:dyDescent="0.5">
      <c r="A2223" s="13" t="s">
        <v>354</v>
      </c>
      <c r="B2223" s="13" t="s">
        <v>419</v>
      </c>
      <c r="C2223" s="13" t="s">
        <v>400</v>
      </c>
      <c r="D2223" s="14">
        <v>0.54465920264079504</v>
      </c>
      <c r="E2223" s="14">
        <v>9.0422354063714216</v>
      </c>
      <c r="F2223" s="14">
        <v>20.741273008571312</v>
      </c>
      <c r="G2223" s="14">
        <v>18.374784490146549</v>
      </c>
      <c r="H2223" s="14">
        <v>31.221533648863865</v>
      </c>
      <c r="I2223" s="14">
        <v>56.393407631265539</v>
      </c>
      <c r="J2223" s="14">
        <v>211.41503809778112</v>
      </c>
    </row>
    <row r="2224" spans="1:10" ht="15.75" x14ac:dyDescent="0.5">
      <c r="A2224" s="13" t="s">
        <v>354</v>
      </c>
      <c r="B2224" s="13" t="s">
        <v>420</v>
      </c>
      <c r="C2224" s="13" t="s">
        <v>400</v>
      </c>
      <c r="D2224" s="14">
        <v>-13.987252957808366</v>
      </c>
      <c r="E2224" s="14">
        <v>-14.068422110938103</v>
      </c>
      <c r="F2224" s="14">
        <v>-13.495411223827436</v>
      </c>
      <c r="G2224" s="14">
        <v>-11.711283832399761</v>
      </c>
      <c r="H2224" s="14">
        <v>-18.148783343719185</v>
      </c>
      <c r="I2224" s="14">
        <v>-17.140977937689332</v>
      </c>
      <c r="J2224" s="14">
        <v>-14.600299857040973</v>
      </c>
    </row>
    <row r="2225" spans="1:10" ht="15.75" x14ac:dyDescent="0.5">
      <c r="A2225" s="13" t="s">
        <v>355</v>
      </c>
      <c r="B2225" s="13" t="s">
        <v>399</v>
      </c>
      <c r="C2225" s="13" t="s">
        <v>400</v>
      </c>
      <c r="D2225" s="14">
        <v>7.2499064625597889</v>
      </c>
      <c r="E2225" s="14">
        <v>4.2389343065693544E-2</v>
      </c>
      <c r="F2225" s="14">
        <v>0.51246000000000103</v>
      </c>
      <c r="G2225" s="14">
        <v>1.3738707153284699</v>
      </c>
      <c r="H2225" s="14">
        <v>2.716451206327867</v>
      </c>
      <c r="I2225" s="14">
        <v>2.3857633053559013</v>
      </c>
      <c r="J2225" s="14">
        <v>2.3873029241650916</v>
      </c>
    </row>
    <row r="2226" spans="1:10" ht="15.75" x14ac:dyDescent="0.5">
      <c r="A2226" s="13" t="s">
        <v>355</v>
      </c>
      <c r="B2226" s="13" t="s">
        <v>401</v>
      </c>
      <c r="C2226" s="13" t="s">
        <v>400</v>
      </c>
      <c r="D2226" s="14" t="s">
        <v>250</v>
      </c>
      <c r="E2226" s="14" t="s">
        <v>250</v>
      </c>
      <c r="F2226" s="14">
        <v>94.225585641185873</v>
      </c>
      <c r="G2226" s="14">
        <v>94.22558564118583</v>
      </c>
      <c r="H2226" s="14">
        <v>8.6020991021762345</v>
      </c>
      <c r="I2226" s="14">
        <v>8.4802205639103825</v>
      </c>
      <c r="J2226" s="14" t="s">
        <v>250</v>
      </c>
    </row>
    <row r="2227" spans="1:10" ht="15.75" x14ac:dyDescent="0.5">
      <c r="A2227" s="13" t="s">
        <v>355</v>
      </c>
      <c r="B2227" s="13" t="s">
        <v>402</v>
      </c>
      <c r="C2227" s="13" t="s">
        <v>400</v>
      </c>
      <c r="D2227" s="14">
        <v>1072.9916742877465</v>
      </c>
      <c r="E2227" s="14">
        <v>280.78374235512393</v>
      </c>
      <c r="F2227" s="14">
        <v>146.29891208852828</v>
      </c>
      <c r="G2227" s="14">
        <v>129.28036473467293</v>
      </c>
      <c r="H2227" s="14">
        <v>83.189784558714607</v>
      </c>
      <c r="I2227" s="14">
        <v>21.290049262532364</v>
      </c>
      <c r="J2227" s="14" t="s">
        <v>250</v>
      </c>
    </row>
    <row r="2228" spans="1:10" ht="15.75" x14ac:dyDescent="0.5">
      <c r="A2228" s="13" t="s">
        <v>355</v>
      </c>
      <c r="B2228" s="13" t="s">
        <v>403</v>
      </c>
      <c r="C2228" s="13" t="s">
        <v>400</v>
      </c>
      <c r="D2228" s="14" t="s">
        <v>250</v>
      </c>
      <c r="E2228" s="14" t="s">
        <v>250</v>
      </c>
      <c r="F2228" s="14">
        <v>96.057362449086185</v>
      </c>
      <c r="G2228" s="14">
        <v>96.05736244908617</v>
      </c>
      <c r="H2228" s="14">
        <v>19.406858271298674</v>
      </c>
      <c r="I2228" s="14">
        <v>29.413544354696324</v>
      </c>
      <c r="J2228" s="14" t="s">
        <v>250</v>
      </c>
    </row>
    <row r="2229" spans="1:10" ht="15.75" x14ac:dyDescent="0.5">
      <c r="A2229" s="13" t="s">
        <v>355</v>
      </c>
      <c r="B2229" s="13" t="s">
        <v>404</v>
      </c>
      <c r="C2229" s="13" t="s">
        <v>400</v>
      </c>
      <c r="D2229" s="14" t="s">
        <v>250</v>
      </c>
      <c r="E2229" s="14" t="s">
        <v>250</v>
      </c>
      <c r="F2229" s="14" t="s">
        <v>250</v>
      </c>
      <c r="G2229" s="14" t="s">
        <v>250</v>
      </c>
      <c r="H2229" s="14" t="s">
        <v>250</v>
      </c>
      <c r="I2229" s="14">
        <v>0.33069896914528535</v>
      </c>
      <c r="J2229" s="14">
        <v>17.380821062011719</v>
      </c>
    </row>
    <row r="2230" spans="1:10" ht="15.75" x14ac:dyDescent="0.5">
      <c r="A2230" s="13" t="s">
        <v>355</v>
      </c>
      <c r="B2230" s="13" t="s">
        <v>421</v>
      </c>
      <c r="C2230" s="13" t="s">
        <v>400</v>
      </c>
      <c r="D2230" s="14" t="s">
        <v>250</v>
      </c>
      <c r="E2230" s="14" t="s">
        <v>250</v>
      </c>
      <c r="F2230" s="14" t="s">
        <v>250</v>
      </c>
      <c r="G2230" s="14">
        <v>1019.2357192523884</v>
      </c>
      <c r="H2230" s="14">
        <v>2707.8837265250122</v>
      </c>
      <c r="I2230" s="14">
        <v>2751.3147918564509</v>
      </c>
      <c r="J2230" s="14">
        <v>1158.2205752185303</v>
      </c>
    </row>
    <row r="2231" spans="1:10" ht="15.75" x14ac:dyDescent="0.5">
      <c r="A2231" s="13" t="s">
        <v>355</v>
      </c>
      <c r="B2231" s="13" t="s">
        <v>405</v>
      </c>
      <c r="C2231" s="13" t="s">
        <v>400</v>
      </c>
      <c r="D2231" s="14">
        <v>1259.3891290889949</v>
      </c>
      <c r="E2231" s="14">
        <v>1477.7380091037435</v>
      </c>
      <c r="F2231" s="14">
        <v>1480.6802053747574</v>
      </c>
      <c r="G2231" s="14">
        <v>1204.4763180789764</v>
      </c>
      <c r="H2231" s="14">
        <v>575.18321113009449</v>
      </c>
      <c r="I2231" s="14">
        <v>507.64458042663983</v>
      </c>
      <c r="J2231" s="14">
        <v>146.59551465665976</v>
      </c>
    </row>
    <row r="2232" spans="1:10" ht="15.75" x14ac:dyDescent="0.5">
      <c r="A2232" s="13" t="s">
        <v>355</v>
      </c>
      <c r="B2232" s="13" t="s">
        <v>406</v>
      </c>
      <c r="C2232" s="13" t="s">
        <v>400</v>
      </c>
      <c r="D2232" s="14">
        <v>23.479196814299335</v>
      </c>
      <c r="E2232" s="14">
        <v>31.486851144565161</v>
      </c>
      <c r="F2232" s="14">
        <v>45.996202579780828</v>
      </c>
      <c r="G2232" s="14">
        <v>51.297730091405882</v>
      </c>
      <c r="H2232" s="14">
        <v>57.092379428255875</v>
      </c>
      <c r="I2232" s="14">
        <v>80.957007663631614</v>
      </c>
      <c r="J2232" s="14">
        <v>104.15858980778071</v>
      </c>
    </row>
    <row r="2233" spans="1:10" ht="15.75" x14ac:dyDescent="0.5">
      <c r="A2233" s="13" t="s">
        <v>355</v>
      </c>
      <c r="B2233" s="13" t="s">
        <v>407</v>
      </c>
      <c r="C2233" s="13" t="s">
        <v>400</v>
      </c>
      <c r="D2233" s="14" t="s">
        <v>250</v>
      </c>
      <c r="E2233" s="14">
        <v>94.846234960092573</v>
      </c>
      <c r="F2233" s="14">
        <v>98.508793206997851</v>
      </c>
      <c r="G2233" s="14">
        <v>129.96890941590098</v>
      </c>
      <c r="H2233" s="14">
        <v>154.77378432469737</v>
      </c>
      <c r="I2233" s="14">
        <v>324.10743346332038</v>
      </c>
      <c r="J2233" s="14">
        <v>377.34802785836621</v>
      </c>
    </row>
    <row r="2234" spans="1:10" ht="15.75" x14ac:dyDescent="0.5">
      <c r="A2234" s="13" t="s">
        <v>355</v>
      </c>
      <c r="B2234" s="13" t="s">
        <v>408</v>
      </c>
      <c r="C2234" s="13" t="s">
        <v>400</v>
      </c>
      <c r="D2234" s="14">
        <v>46.892290321001234</v>
      </c>
      <c r="E2234" s="14">
        <v>30.340618959248985</v>
      </c>
      <c r="F2234" s="14">
        <v>23.092460456596108</v>
      </c>
      <c r="G2234" s="14">
        <v>28.959689040384376</v>
      </c>
      <c r="H2234" s="14">
        <v>18.981568532345502</v>
      </c>
      <c r="I2234" s="14">
        <v>46.384871629013183</v>
      </c>
      <c r="J2234" s="14">
        <v>46.136366427066065</v>
      </c>
    </row>
    <row r="2235" spans="1:10" ht="15.75" x14ac:dyDescent="0.5">
      <c r="A2235" s="13" t="s">
        <v>355</v>
      </c>
      <c r="B2235" s="13" t="s">
        <v>409</v>
      </c>
      <c r="C2235" s="13" t="s">
        <v>400</v>
      </c>
      <c r="D2235" s="14">
        <v>18.365704270000034</v>
      </c>
      <c r="E2235" s="14">
        <v>18.36570427000003</v>
      </c>
      <c r="F2235" s="14">
        <v>18.36570427000003</v>
      </c>
      <c r="G2235" s="14">
        <v>18.36570427000003</v>
      </c>
      <c r="H2235" s="14">
        <v>18.365704270000037</v>
      </c>
      <c r="I2235" s="14">
        <v>18.365704270000034</v>
      </c>
      <c r="J2235" s="14">
        <v>18.365704270000034</v>
      </c>
    </row>
    <row r="2236" spans="1:10" ht="15.75" x14ac:dyDescent="0.5">
      <c r="A2236" s="13" t="s">
        <v>355</v>
      </c>
      <c r="B2236" s="13" t="s">
        <v>410</v>
      </c>
      <c r="C2236" s="13" t="s">
        <v>400</v>
      </c>
      <c r="D2236" s="14">
        <v>245.79356253202218</v>
      </c>
      <c r="E2236" s="14">
        <v>244.54255181348503</v>
      </c>
      <c r="F2236" s="14">
        <v>246.07973648896939</v>
      </c>
      <c r="G2236" s="14">
        <v>246.00052273268</v>
      </c>
      <c r="H2236" s="14">
        <v>246.16997594139315</v>
      </c>
      <c r="I2236" s="14">
        <v>246.16997594139178</v>
      </c>
      <c r="J2236" s="14">
        <v>246.14847148854236</v>
      </c>
    </row>
    <row r="2237" spans="1:10" ht="15.75" x14ac:dyDescent="0.5">
      <c r="A2237" s="13" t="s">
        <v>355</v>
      </c>
      <c r="B2237" s="13" t="s">
        <v>411</v>
      </c>
      <c r="C2237" s="13" t="s">
        <v>400</v>
      </c>
      <c r="D2237" s="14">
        <v>7.1394000000000153</v>
      </c>
      <c r="E2237" s="14">
        <v>3.5593489051094984</v>
      </c>
      <c r="F2237" s="14" t="s">
        <v>250</v>
      </c>
      <c r="G2237" s="14" t="s">
        <v>250</v>
      </c>
      <c r="H2237" s="14" t="s">
        <v>250</v>
      </c>
      <c r="I2237" s="14" t="s">
        <v>250</v>
      </c>
      <c r="J2237" s="14" t="s">
        <v>250</v>
      </c>
    </row>
    <row r="2238" spans="1:10" ht="15.75" x14ac:dyDescent="0.5">
      <c r="A2238" s="13" t="s">
        <v>355</v>
      </c>
      <c r="B2238" s="13" t="s">
        <v>412</v>
      </c>
      <c r="C2238" s="13" t="s">
        <v>400</v>
      </c>
      <c r="D2238" s="14">
        <v>760.72545968400175</v>
      </c>
      <c r="E2238" s="14">
        <v>744.80001010523188</v>
      </c>
      <c r="F2238" s="14">
        <v>618.73096942865345</v>
      </c>
      <c r="G2238" s="14">
        <v>684.47728915524795</v>
      </c>
      <c r="H2238" s="14">
        <v>711.17511957284682</v>
      </c>
      <c r="I2238" s="14">
        <v>846.96063460311359</v>
      </c>
      <c r="J2238" s="14">
        <v>2468.3420273085749</v>
      </c>
    </row>
    <row r="2239" spans="1:10" ht="15.75" x14ac:dyDescent="0.5">
      <c r="A2239" s="13" t="s">
        <v>355</v>
      </c>
      <c r="B2239" s="13" t="s">
        <v>413</v>
      </c>
      <c r="C2239" s="13" t="s">
        <v>400</v>
      </c>
      <c r="D2239" s="14">
        <v>23.702927619886136</v>
      </c>
      <c r="E2239" s="14">
        <v>29.91479801622485</v>
      </c>
      <c r="F2239" s="14">
        <v>12.90691834147842</v>
      </c>
      <c r="G2239" s="14">
        <v>4.3495164310316277</v>
      </c>
      <c r="H2239" s="14">
        <v>1.6784850893997354</v>
      </c>
      <c r="I2239" s="14">
        <v>0.51170278637663802</v>
      </c>
      <c r="J2239" s="14" t="s">
        <v>250</v>
      </c>
    </row>
    <row r="2240" spans="1:10" ht="15.75" x14ac:dyDescent="0.5">
      <c r="A2240" s="13" t="s">
        <v>355</v>
      </c>
      <c r="B2240" s="13" t="s">
        <v>414</v>
      </c>
      <c r="C2240" s="13" t="s">
        <v>400</v>
      </c>
      <c r="D2240" s="14">
        <v>0.6803907705109502</v>
      </c>
      <c r="E2240" s="14">
        <v>25.072600882047986</v>
      </c>
      <c r="F2240" s="14">
        <v>94.470310514140351</v>
      </c>
      <c r="G2240" s="14">
        <v>188.32385717161702</v>
      </c>
      <c r="H2240" s="14">
        <v>240.52985215704095</v>
      </c>
      <c r="I2240" s="14">
        <v>241.14307158087846</v>
      </c>
      <c r="J2240" s="14">
        <v>241.58108545504874</v>
      </c>
    </row>
    <row r="2241" spans="1:10" ht="15.75" x14ac:dyDescent="0.5">
      <c r="A2241" s="13" t="s">
        <v>355</v>
      </c>
      <c r="B2241" s="13" t="s">
        <v>415</v>
      </c>
      <c r="C2241" s="13" t="s">
        <v>400</v>
      </c>
      <c r="D2241" s="14">
        <v>440.53124483255556</v>
      </c>
      <c r="E2241" s="14">
        <v>864.39425631419044</v>
      </c>
      <c r="F2241" s="14">
        <v>1325.7076660506875</v>
      </c>
      <c r="G2241" s="14">
        <v>1403.5305227947435</v>
      </c>
      <c r="H2241" s="14">
        <v>1509.0514298745238</v>
      </c>
      <c r="I2241" s="14">
        <v>1671.1730391551473</v>
      </c>
      <c r="J2241" s="14">
        <v>2004.3527764842042</v>
      </c>
    </row>
    <row r="2242" spans="1:10" ht="15.75" x14ac:dyDescent="0.5">
      <c r="A2242" s="13" t="s">
        <v>355</v>
      </c>
      <c r="B2242" s="13" t="s">
        <v>416</v>
      </c>
      <c r="C2242" s="13" t="s">
        <v>400</v>
      </c>
      <c r="D2242" s="14" t="s">
        <v>250</v>
      </c>
      <c r="E2242" s="14">
        <v>54.174742594980984</v>
      </c>
      <c r="F2242" s="14">
        <v>66.675949052097479</v>
      </c>
      <c r="G2242" s="14">
        <v>76.801435170202126</v>
      </c>
      <c r="H2242" s="14">
        <v>77.990654991853717</v>
      </c>
      <c r="I2242" s="14">
        <v>82.683057309487651</v>
      </c>
      <c r="J2242" s="14">
        <v>94.727837483420942</v>
      </c>
    </row>
    <row r="2243" spans="1:10" ht="15.75" x14ac:dyDescent="0.5">
      <c r="A2243" s="13" t="s">
        <v>355</v>
      </c>
      <c r="B2243" s="13" t="s">
        <v>417</v>
      </c>
      <c r="C2243" s="13" t="s">
        <v>400</v>
      </c>
      <c r="D2243" s="14">
        <v>187.48709633408694</v>
      </c>
      <c r="E2243" s="14">
        <v>300.46762241003177</v>
      </c>
      <c r="F2243" s="14">
        <v>343.21071830874564</v>
      </c>
      <c r="G2243" s="14">
        <v>408.58154636001785</v>
      </c>
      <c r="H2243" s="14">
        <v>524.77831606740847</v>
      </c>
      <c r="I2243" s="14">
        <v>932.84581597376155</v>
      </c>
      <c r="J2243" s="14">
        <v>1455.7011399194828</v>
      </c>
    </row>
    <row r="2244" spans="1:10" ht="15.75" x14ac:dyDescent="0.5">
      <c r="A2244" s="13" t="s">
        <v>355</v>
      </c>
      <c r="B2244" s="13" t="s">
        <v>418</v>
      </c>
      <c r="C2244" s="13" t="s">
        <v>400</v>
      </c>
      <c r="D2244" s="14">
        <v>3.1841751731019534</v>
      </c>
      <c r="E2244" s="14">
        <v>3.1841751731019539</v>
      </c>
      <c r="F2244" s="14">
        <v>3.1841751731019539</v>
      </c>
      <c r="G2244" s="14">
        <v>3.184175173101953</v>
      </c>
      <c r="H2244" s="14">
        <v>3.1841751731019534</v>
      </c>
      <c r="I2244" s="14">
        <v>3.1841751731019534</v>
      </c>
      <c r="J2244" s="14">
        <v>3.1841751731019534</v>
      </c>
    </row>
    <row r="2245" spans="1:10" ht="15.75" x14ac:dyDescent="0.5">
      <c r="A2245" s="13" t="s">
        <v>355</v>
      </c>
      <c r="B2245" s="13" t="s">
        <v>419</v>
      </c>
      <c r="C2245" s="13" t="s">
        <v>400</v>
      </c>
      <c r="D2245" s="14">
        <v>0.54465920264079504</v>
      </c>
      <c r="E2245" s="14">
        <v>8.8132962826710592</v>
      </c>
      <c r="F2245" s="14">
        <v>20.289601503042967</v>
      </c>
      <c r="G2245" s="14">
        <v>18.37376561959891</v>
      </c>
      <c r="H2245" s="14">
        <v>26.656439166579357</v>
      </c>
      <c r="I2245" s="14">
        <v>48.955693670804983</v>
      </c>
      <c r="J2245" s="14">
        <v>92.867312436113636</v>
      </c>
    </row>
    <row r="2246" spans="1:10" ht="15.75" x14ac:dyDescent="0.5">
      <c r="A2246" s="13" t="s">
        <v>355</v>
      </c>
      <c r="B2246" s="13" t="s">
        <v>420</v>
      </c>
      <c r="C2246" s="13" t="s">
        <v>400</v>
      </c>
      <c r="D2246" s="14">
        <v>-13.987252957808341</v>
      </c>
      <c r="E2246" s="14">
        <v>-13.972064524345093</v>
      </c>
      <c r="F2246" s="14">
        <v>-13.220736525323044</v>
      </c>
      <c r="G2246" s="14">
        <v>-11.742696256165896</v>
      </c>
      <c r="H2246" s="14">
        <v>-18.220499863040303</v>
      </c>
      <c r="I2246" s="14">
        <v>-17.689398423149289</v>
      </c>
      <c r="J2246" s="14">
        <v>-13.787765959790324</v>
      </c>
    </row>
    <row r="2247" spans="1:10" ht="15.75" x14ac:dyDescent="0.5">
      <c r="A2247" s="13" t="s">
        <v>356</v>
      </c>
      <c r="B2247" s="13" t="s">
        <v>399</v>
      </c>
      <c r="C2247" s="13" t="s">
        <v>400</v>
      </c>
      <c r="D2247" s="14">
        <v>7.2499064625597898</v>
      </c>
      <c r="E2247" s="14">
        <v>0.29730534306569406</v>
      </c>
      <c r="F2247" s="14">
        <v>0.51246000000000125</v>
      </c>
      <c r="G2247" s="14">
        <v>1.4715840000000022</v>
      </c>
      <c r="H2247" s="14">
        <v>1.8491945693430711</v>
      </c>
      <c r="I2247" s="14">
        <v>1.4550317904492576</v>
      </c>
      <c r="J2247" s="14">
        <v>6.8079825828760793E-2</v>
      </c>
    </row>
    <row r="2248" spans="1:10" ht="15.75" x14ac:dyDescent="0.5">
      <c r="A2248" s="13" t="s">
        <v>356</v>
      </c>
      <c r="B2248" s="13" t="s">
        <v>401</v>
      </c>
      <c r="C2248" s="13" t="s">
        <v>400</v>
      </c>
      <c r="D2248" s="14" t="s">
        <v>250</v>
      </c>
      <c r="E2248" s="14" t="s">
        <v>250</v>
      </c>
      <c r="F2248" s="14">
        <v>94.711642717296598</v>
      </c>
      <c r="G2248" s="14">
        <v>94.711642717296613</v>
      </c>
      <c r="H2248" s="14">
        <v>10.684800248939098</v>
      </c>
      <c r="I2248" s="14">
        <v>10.2138202029723</v>
      </c>
      <c r="J2248" s="14" t="s">
        <v>250</v>
      </c>
    </row>
    <row r="2249" spans="1:10" ht="15.75" x14ac:dyDescent="0.5">
      <c r="A2249" s="13" t="s">
        <v>356</v>
      </c>
      <c r="B2249" s="13" t="s">
        <v>402</v>
      </c>
      <c r="C2249" s="13" t="s">
        <v>400</v>
      </c>
      <c r="D2249" s="14">
        <v>1072.9916742877465</v>
      </c>
      <c r="E2249" s="14">
        <v>278.74992697387529</v>
      </c>
      <c r="F2249" s="14">
        <v>142.65702510906539</v>
      </c>
      <c r="G2249" s="14">
        <v>108.41675341498291</v>
      </c>
      <c r="H2249" s="14">
        <v>110.60265058599224</v>
      </c>
      <c r="I2249" s="14">
        <v>35.793717136321824</v>
      </c>
      <c r="J2249" s="14" t="s">
        <v>250</v>
      </c>
    </row>
    <row r="2250" spans="1:10" ht="15.75" x14ac:dyDescent="0.5">
      <c r="A2250" s="13" t="s">
        <v>356</v>
      </c>
      <c r="B2250" s="13" t="s">
        <v>403</v>
      </c>
      <c r="C2250" s="13" t="s">
        <v>400</v>
      </c>
      <c r="D2250" s="14" t="s">
        <v>250</v>
      </c>
      <c r="E2250" s="14" t="s">
        <v>250</v>
      </c>
      <c r="F2250" s="14">
        <v>142.7204497520116</v>
      </c>
      <c r="G2250" s="14">
        <v>142.72044975201163</v>
      </c>
      <c r="H2250" s="14">
        <v>29.006386275948607</v>
      </c>
      <c r="I2250" s="14">
        <v>30.597403118617674</v>
      </c>
      <c r="J2250" s="14" t="s">
        <v>250</v>
      </c>
    </row>
    <row r="2251" spans="1:10" ht="15.75" x14ac:dyDescent="0.5">
      <c r="A2251" s="13" t="s">
        <v>356</v>
      </c>
      <c r="B2251" s="13" t="s">
        <v>404</v>
      </c>
      <c r="C2251" s="13" t="s">
        <v>400</v>
      </c>
      <c r="D2251" s="14" t="s">
        <v>250</v>
      </c>
      <c r="E2251" s="14" t="s">
        <v>250</v>
      </c>
      <c r="F2251" s="14" t="s">
        <v>250</v>
      </c>
      <c r="G2251" s="14" t="s">
        <v>250</v>
      </c>
      <c r="H2251" s="14" t="s">
        <v>250</v>
      </c>
      <c r="I2251" s="14">
        <v>0.33069896914528535</v>
      </c>
      <c r="J2251" s="14">
        <v>7.1574725878373773</v>
      </c>
    </row>
    <row r="2252" spans="1:10" ht="15.75" x14ac:dyDescent="0.5">
      <c r="A2252" s="13" t="s">
        <v>356</v>
      </c>
      <c r="B2252" s="13" t="s">
        <v>421</v>
      </c>
      <c r="C2252" s="13" t="s">
        <v>400</v>
      </c>
      <c r="D2252" s="14" t="s">
        <v>250</v>
      </c>
      <c r="E2252" s="14" t="s">
        <v>250</v>
      </c>
      <c r="F2252" s="14" t="s">
        <v>250</v>
      </c>
      <c r="G2252" s="14">
        <v>871.96005806610322</v>
      </c>
      <c r="H2252" s="14">
        <v>2353.484220732837</v>
      </c>
      <c r="I2252" s="14">
        <v>2356.1402144494195</v>
      </c>
      <c r="J2252" s="14">
        <v>403.49515416066015</v>
      </c>
    </row>
    <row r="2253" spans="1:10" ht="15.75" x14ac:dyDescent="0.5">
      <c r="A2253" s="13" t="s">
        <v>356</v>
      </c>
      <c r="B2253" s="13" t="s">
        <v>405</v>
      </c>
      <c r="C2253" s="13" t="s">
        <v>400</v>
      </c>
      <c r="D2253" s="14">
        <v>1259.3891290889942</v>
      </c>
      <c r="E2253" s="14">
        <v>1474.2548891658216</v>
      </c>
      <c r="F2253" s="14">
        <v>1435.9983396605928</v>
      </c>
      <c r="G2253" s="14">
        <v>1267.0930243765949</v>
      </c>
      <c r="H2253" s="14">
        <v>787.60629893391024</v>
      </c>
      <c r="I2253" s="14">
        <v>497.06225171605445</v>
      </c>
      <c r="J2253" s="14">
        <v>210.76945460050601</v>
      </c>
    </row>
    <row r="2254" spans="1:10" ht="15.75" x14ac:dyDescent="0.5">
      <c r="A2254" s="13" t="s">
        <v>356</v>
      </c>
      <c r="B2254" s="13" t="s">
        <v>406</v>
      </c>
      <c r="C2254" s="13" t="s">
        <v>400</v>
      </c>
      <c r="D2254" s="14">
        <v>23.479196814299328</v>
      </c>
      <c r="E2254" s="14">
        <v>30.804407132746746</v>
      </c>
      <c r="F2254" s="14">
        <v>45.201724223861099</v>
      </c>
      <c r="G2254" s="14">
        <v>50.4897165495127</v>
      </c>
      <c r="H2254" s="14">
        <v>59.71470524469548</v>
      </c>
      <c r="I2254" s="14">
        <v>69.302610236113168</v>
      </c>
      <c r="J2254" s="14">
        <v>75.360831802413841</v>
      </c>
    </row>
    <row r="2255" spans="1:10" ht="15.75" x14ac:dyDescent="0.5">
      <c r="A2255" s="13" t="s">
        <v>356</v>
      </c>
      <c r="B2255" s="13" t="s">
        <v>407</v>
      </c>
      <c r="C2255" s="13" t="s">
        <v>400</v>
      </c>
      <c r="D2255" s="14" t="s">
        <v>250</v>
      </c>
      <c r="E2255" s="14">
        <v>95.008919177394958</v>
      </c>
      <c r="F2255" s="14">
        <v>82.705126689661427</v>
      </c>
      <c r="G2255" s="14">
        <v>165.63651413841285</v>
      </c>
      <c r="H2255" s="14">
        <v>115.05217956308431</v>
      </c>
      <c r="I2255" s="14">
        <v>139.04078805826779</v>
      </c>
      <c r="J2255" s="14">
        <v>114.16550042140128</v>
      </c>
    </row>
    <row r="2256" spans="1:10" ht="15.75" x14ac:dyDescent="0.5">
      <c r="A2256" s="13" t="s">
        <v>356</v>
      </c>
      <c r="B2256" s="13" t="s">
        <v>408</v>
      </c>
      <c r="C2256" s="13" t="s">
        <v>400</v>
      </c>
      <c r="D2256" s="14">
        <v>46.892290321001212</v>
      </c>
      <c r="E2256" s="14">
        <v>30.244825574300659</v>
      </c>
      <c r="F2256" s="14">
        <v>23.250219472403547</v>
      </c>
      <c r="G2256" s="14">
        <v>32.779102024640508</v>
      </c>
      <c r="H2256" s="14">
        <v>27.683002887337604</v>
      </c>
      <c r="I2256" s="14">
        <v>43.703145709981207</v>
      </c>
      <c r="J2256" s="14">
        <v>36.532598446447899</v>
      </c>
    </row>
    <row r="2257" spans="1:10" ht="15.75" x14ac:dyDescent="0.5">
      <c r="A2257" s="13" t="s">
        <v>356</v>
      </c>
      <c r="B2257" s="13" t="s">
        <v>409</v>
      </c>
      <c r="C2257" s="13" t="s">
        <v>400</v>
      </c>
      <c r="D2257" s="14">
        <v>18.365704270000034</v>
      </c>
      <c r="E2257" s="14">
        <v>18.36570427000003</v>
      </c>
      <c r="F2257" s="14">
        <v>18.365704270000034</v>
      </c>
      <c r="G2257" s="14">
        <v>18.365704270000034</v>
      </c>
      <c r="H2257" s="14">
        <v>18.365704270000034</v>
      </c>
      <c r="I2257" s="14">
        <v>18.365704270000037</v>
      </c>
      <c r="J2257" s="14">
        <v>18.365704270000037</v>
      </c>
    </row>
    <row r="2258" spans="1:10" ht="15.75" x14ac:dyDescent="0.5">
      <c r="A2258" s="13" t="s">
        <v>356</v>
      </c>
      <c r="B2258" s="13" t="s">
        <v>410</v>
      </c>
      <c r="C2258" s="13" t="s">
        <v>400</v>
      </c>
      <c r="D2258" s="14">
        <v>245.79356253202209</v>
      </c>
      <c r="E2258" s="14">
        <v>244.55389859745637</v>
      </c>
      <c r="F2258" s="14">
        <v>245.82266303463157</v>
      </c>
      <c r="G2258" s="14">
        <v>245.99168819741649</v>
      </c>
      <c r="H2258" s="14">
        <v>246.1699759413938</v>
      </c>
      <c r="I2258" s="14">
        <v>246.16917280355301</v>
      </c>
      <c r="J2258" s="14">
        <v>246.16917280364677</v>
      </c>
    </row>
    <row r="2259" spans="1:10" ht="15.75" x14ac:dyDescent="0.5">
      <c r="A2259" s="13" t="s">
        <v>356</v>
      </c>
      <c r="B2259" s="13" t="s">
        <v>411</v>
      </c>
      <c r="C2259" s="13" t="s">
        <v>400</v>
      </c>
      <c r="D2259" s="14">
        <v>7.1394000000000171</v>
      </c>
      <c r="E2259" s="14">
        <v>3.5593489051094975</v>
      </c>
      <c r="F2259" s="14" t="s">
        <v>250</v>
      </c>
      <c r="G2259" s="14" t="s">
        <v>250</v>
      </c>
      <c r="H2259" s="14" t="s">
        <v>250</v>
      </c>
      <c r="I2259" s="14" t="s">
        <v>250</v>
      </c>
      <c r="J2259" s="14" t="s">
        <v>250</v>
      </c>
    </row>
    <row r="2260" spans="1:10" ht="15.75" x14ac:dyDescent="0.5">
      <c r="A2260" s="13" t="s">
        <v>356</v>
      </c>
      <c r="B2260" s="13" t="s">
        <v>412</v>
      </c>
      <c r="C2260" s="13" t="s">
        <v>400</v>
      </c>
      <c r="D2260" s="14">
        <v>760.72545968400175</v>
      </c>
      <c r="E2260" s="14">
        <v>751.39270754201198</v>
      </c>
      <c r="F2260" s="14">
        <v>647.31024409045176</v>
      </c>
      <c r="G2260" s="14">
        <v>769.65249638286184</v>
      </c>
      <c r="H2260" s="14">
        <v>1003.5554957699271</v>
      </c>
      <c r="I2260" s="14">
        <v>2009.934847882362</v>
      </c>
      <c r="J2260" s="14">
        <v>4381.846864076957</v>
      </c>
    </row>
    <row r="2261" spans="1:10" ht="15.75" x14ac:dyDescent="0.5">
      <c r="A2261" s="13" t="s">
        <v>356</v>
      </c>
      <c r="B2261" s="13" t="s">
        <v>413</v>
      </c>
      <c r="C2261" s="13" t="s">
        <v>400</v>
      </c>
      <c r="D2261" s="14">
        <v>23.702927619886125</v>
      </c>
      <c r="E2261" s="14">
        <v>29.612170385745451</v>
      </c>
      <c r="F2261" s="14">
        <v>12.440021785713984</v>
      </c>
      <c r="G2261" s="14">
        <v>4.0545169328283093</v>
      </c>
      <c r="H2261" s="14">
        <v>2.4896585878869337</v>
      </c>
      <c r="I2261" s="14">
        <v>0.46335063677900529</v>
      </c>
      <c r="J2261" s="14" t="s">
        <v>250</v>
      </c>
    </row>
    <row r="2262" spans="1:10" ht="15.75" x14ac:dyDescent="0.5">
      <c r="A2262" s="13" t="s">
        <v>356</v>
      </c>
      <c r="B2262" s="13" t="s">
        <v>414</v>
      </c>
      <c r="C2262" s="13" t="s">
        <v>400</v>
      </c>
      <c r="D2262" s="14">
        <v>0.68039077051095032</v>
      </c>
      <c r="E2262" s="14">
        <v>24.955907942200909</v>
      </c>
      <c r="F2262" s="14">
        <v>94.473417382473116</v>
      </c>
      <c r="G2262" s="14">
        <v>188.38140644532706</v>
      </c>
      <c r="H2262" s="14">
        <v>239.20187858580249</v>
      </c>
      <c r="I2262" s="14">
        <v>239.81122717266371</v>
      </c>
      <c r="J2262" s="14">
        <v>240.24647616327948</v>
      </c>
    </row>
    <row r="2263" spans="1:10" ht="15.75" x14ac:dyDescent="0.5">
      <c r="A2263" s="13" t="s">
        <v>356</v>
      </c>
      <c r="B2263" s="13" t="s">
        <v>415</v>
      </c>
      <c r="C2263" s="13" t="s">
        <v>400</v>
      </c>
      <c r="D2263" s="14">
        <v>440.5312448325555</v>
      </c>
      <c r="E2263" s="14">
        <v>864.13933989445081</v>
      </c>
      <c r="F2263" s="14">
        <v>1316.9148112019921</v>
      </c>
      <c r="G2263" s="14">
        <v>1364.7668947810171</v>
      </c>
      <c r="H2263" s="14">
        <v>1434.9580059068851</v>
      </c>
      <c r="I2263" s="14">
        <v>1487.4455055393746</v>
      </c>
      <c r="J2263" s="14">
        <v>1504.0720148696969</v>
      </c>
    </row>
    <row r="2264" spans="1:10" ht="15.75" x14ac:dyDescent="0.5">
      <c r="A2264" s="13" t="s">
        <v>356</v>
      </c>
      <c r="B2264" s="13" t="s">
        <v>416</v>
      </c>
      <c r="C2264" s="13" t="s">
        <v>400</v>
      </c>
      <c r="D2264" s="14" t="s">
        <v>250</v>
      </c>
      <c r="E2264" s="14">
        <v>54.174742594980977</v>
      </c>
      <c r="F2264" s="14">
        <v>66.675949052097451</v>
      </c>
      <c r="G2264" s="14">
        <v>76.801435170202112</v>
      </c>
      <c r="H2264" s="14">
        <v>77.990654991853702</v>
      </c>
      <c r="I2264" s="14">
        <v>82.683057309487637</v>
      </c>
      <c r="J2264" s="14">
        <v>94.727837483420956</v>
      </c>
    </row>
    <row r="2265" spans="1:10" ht="15.75" x14ac:dyDescent="0.5">
      <c r="A2265" s="13" t="s">
        <v>356</v>
      </c>
      <c r="B2265" s="13" t="s">
        <v>417</v>
      </c>
      <c r="C2265" s="13" t="s">
        <v>400</v>
      </c>
      <c r="D2265" s="14">
        <v>187.487096334087</v>
      </c>
      <c r="E2265" s="14">
        <v>300.46762241003177</v>
      </c>
      <c r="F2265" s="14">
        <v>343.4678200566014</v>
      </c>
      <c r="G2265" s="14">
        <v>378.98235862763448</v>
      </c>
      <c r="H2265" s="14">
        <v>428.45699588204303</v>
      </c>
      <c r="I2265" s="14">
        <v>555.43594803168094</v>
      </c>
      <c r="J2265" s="14">
        <v>1063.2577204315101</v>
      </c>
    </row>
    <row r="2266" spans="1:10" ht="15.75" x14ac:dyDescent="0.5">
      <c r="A2266" s="13" t="s">
        <v>356</v>
      </c>
      <c r="B2266" s="13" t="s">
        <v>418</v>
      </c>
      <c r="C2266" s="13" t="s">
        <v>400</v>
      </c>
      <c r="D2266" s="14">
        <v>3.184175173101953</v>
      </c>
      <c r="E2266" s="14">
        <v>3.184175173101953</v>
      </c>
      <c r="F2266" s="14">
        <v>3.1841751731019539</v>
      </c>
      <c r="G2266" s="14">
        <v>3.1841751731019534</v>
      </c>
      <c r="H2266" s="14">
        <v>3.1841751731019539</v>
      </c>
      <c r="I2266" s="14">
        <v>3.184175173101953</v>
      </c>
      <c r="J2266" s="14">
        <v>3.1841751731019534</v>
      </c>
    </row>
    <row r="2267" spans="1:10" ht="15.75" x14ac:dyDescent="0.5">
      <c r="A2267" s="13" t="s">
        <v>356</v>
      </c>
      <c r="B2267" s="13" t="s">
        <v>419</v>
      </c>
      <c r="C2267" s="13" t="s">
        <v>400</v>
      </c>
      <c r="D2267" s="14">
        <v>0.54465920264079504</v>
      </c>
      <c r="E2267" s="14">
        <v>8.8082895086948003</v>
      </c>
      <c r="F2267" s="14">
        <v>19.541241521859821</v>
      </c>
      <c r="G2267" s="14">
        <v>18.622380192905162</v>
      </c>
      <c r="H2267" s="14">
        <v>21.239135506959506</v>
      </c>
      <c r="I2267" s="14">
        <v>28.144171818155982</v>
      </c>
      <c r="J2267" s="14">
        <v>68.357408093879016</v>
      </c>
    </row>
    <row r="2268" spans="1:10" ht="15.75" x14ac:dyDescent="0.5">
      <c r="A2268" s="13" t="s">
        <v>356</v>
      </c>
      <c r="B2268" s="13" t="s">
        <v>420</v>
      </c>
      <c r="C2268" s="13" t="s">
        <v>400</v>
      </c>
      <c r="D2268" s="14">
        <v>-13.987252957808414</v>
      </c>
      <c r="E2268" s="14">
        <v>-13.980797947023479</v>
      </c>
      <c r="F2268" s="14">
        <v>-13.464615877516572</v>
      </c>
      <c r="G2268" s="14">
        <v>-12.35992490271199</v>
      </c>
      <c r="H2268" s="14">
        <v>-16.209985543529925</v>
      </c>
      <c r="I2268" s="14">
        <v>-16.238410015286327</v>
      </c>
      <c r="J2268" s="14">
        <v>-19.087622482523074</v>
      </c>
    </row>
    <row r="2269" spans="1:10" ht="15.75" x14ac:dyDescent="0.5">
      <c r="A2269" s="13" t="s">
        <v>357</v>
      </c>
      <c r="B2269" s="13" t="s">
        <v>399</v>
      </c>
      <c r="C2269" s="13" t="s">
        <v>400</v>
      </c>
      <c r="D2269" s="14">
        <v>7.2499064625597898</v>
      </c>
      <c r="E2269" s="14">
        <v>4.2389343065693544E-2</v>
      </c>
      <c r="F2269" s="14">
        <v>0.51246000000000103</v>
      </c>
      <c r="G2269" s="14">
        <v>1.4715840000000027</v>
      </c>
      <c r="H2269" s="14">
        <v>2.2811943065693483</v>
      </c>
      <c r="I2269" s="14">
        <v>2.2028920291970846</v>
      </c>
      <c r="J2269" s="14">
        <v>3.021251350676383</v>
      </c>
    </row>
    <row r="2270" spans="1:10" ht="15.75" x14ac:dyDescent="0.5">
      <c r="A2270" s="13" t="s">
        <v>357</v>
      </c>
      <c r="B2270" s="13" t="s">
        <v>401</v>
      </c>
      <c r="C2270" s="13" t="s">
        <v>400</v>
      </c>
      <c r="D2270" s="14" t="s">
        <v>250</v>
      </c>
      <c r="E2270" s="14" t="s">
        <v>250</v>
      </c>
      <c r="F2270" s="14">
        <v>89.792740886901413</v>
      </c>
      <c r="G2270" s="14">
        <v>89.792740886901441</v>
      </c>
      <c r="H2270" s="14">
        <v>6.4845302503068138</v>
      </c>
      <c r="I2270" s="14">
        <v>6.0922387572720069</v>
      </c>
      <c r="J2270" s="14" t="s">
        <v>250</v>
      </c>
    </row>
    <row r="2271" spans="1:10" ht="15.75" x14ac:dyDescent="0.5">
      <c r="A2271" s="13" t="s">
        <v>357</v>
      </c>
      <c r="B2271" s="13" t="s">
        <v>402</v>
      </c>
      <c r="C2271" s="13" t="s">
        <v>400</v>
      </c>
      <c r="D2271" s="14">
        <v>1072.991674287746</v>
      </c>
      <c r="E2271" s="14">
        <v>286.16957875918888</v>
      </c>
      <c r="F2271" s="14">
        <v>149.9531684572618</v>
      </c>
      <c r="G2271" s="14">
        <v>133.37563198313595</v>
      </c>
      <c r="H2271" s="14">
        <v>71.773237177904875</v>
      </c>
      <c r="I2271" s="14">
        <v>35.173974563682208</v>
      </c>
      <c r="J2271" s="14" t="s">
        <v>250</v>
      </c>
    </row>
    <row r="2272" spans="1:10" ht="15.75" x14ac:dyDescent="0.5">
      <c r="A2272" s="13" t="s">
        <v>357</v>
      </c>
      <c r="B2272" s="13" t="s">
        <v>403</v>
      </c>
      <c r="C2272" s="13" t="s">
        <v>400</v>
      </c>
      <c r="D2272" s="14" t="s">
        <v>250</v>
      </c>
      <c r="E2272" s="14" t="s">
        <v>250</v>
      </c>
      <c r="F2272" s="14">
        <v>75.940930501850261</v>
      </c>
      <c r="G2272" s="14">
        <v>75.940930501850303</v>
      </c>
      <c r="H2272" s="14">
        <v>15.355506885160811</v>
      </c>
      <c r="I2272" s="14">
        <v>15.355506885160795</v>
      </c>
      <c r="J2272" s="14" t="s">
        <v>250</v>
      </c>
    </row>
    <row r="2273" spans="1:10" ht="15.75" x14ac:dyDescent="0.5">
      <c r="A2273" s="13" t="s">
        <v>357</v>
      </c>
      <c r="B2273" s="13" t="s">
        <v>404</v>
      </c>
      <c r="C2273" s="13" t="s">
        <v>400</v>
      </c>
      <c r="D2273" s="14" t="s">
        <v>250</v>
      </c>
      <c r="E2273" s="14" t="s">
        <v>250</v>
      </c>
      <c r="F2273" s="14" t="s">
        <v>250</v>
      </c>
      <c r="G2273" s="14" t="s">
        <v>250</v>
      </c>
      <c r="H2273" s="14" t="s">
        <v>250</v>
      </c>
      <c r="I2273" s="14">
        <v>0.33069896914528535</v>
      </c>
      <c r="J2273" s="14">
        <v>71.690880436888961</v>
      </c>
    </row>
    <row r="2274" spans="1:10" ht="15.75" x14ac:dyDescent="0.5">
      <c r="A2274" s="13" t="s">
        <v>357</v>
      </c>
      <c r="B2274" s="13" t="s">
        <v>421</v>
      </c>
      <c r="C2274" s="13" t="s">
        <v>400</v>
      </c>
      <c r="D2274" s="14" t="s">
        <v>250</v>
      </c>
      <c r="E2274" s="14" t="s">
        <v>250</v>
      </c>
      <c r="F2274" s="14" t="s">
        <v>250</v>
      </c>
      <c r="G2274" s="14">
        <v>1243.9285458735535</v>
      </c>
      <c r="H2274" s="14">
        <v>3176.6959330956911</v>
      </c>
      <c r="I2274" s="14">
        <v>3337.3176975166102</v>
      </c>
      <c r="J2274" s="14">
        <v>2686.799990912783</v>
      </c>
    </row>
    <row r="2275" spans="1:10" ht="15.75" x14ac:dyDescent="0.5">
      <c r="A2275" s="13" t="s">
        <v>357</v>
      </c>
      <c r="B2275" s="13" t="s">
        <v>405</v>
      </c>
      <c r="C2275" s="13" t="s">
        <v>400</v>
      </c>
      <c r="D2275" s="14">
        <v>1259.3891290889949</v>
      </c>
      <c r="E2275" s="14">
        <v>1468.9519016789386</v>
      </c>
      <c r="F2275" s="14">
        <v>1461.7830246419271</v>
      </c>
      <c r="G2275" s="14">
        <v>1040.3431123375126</v>
      </c>
      <c r="H2275" s="14">
        <v>443.87223462908679</v>
      </c>
      <c r="I2275" s="14">
        <v>455.13650186292631</v>
      </c>
      <c r="J2275" s="14">
        <v>87.683735413507847</v>
      </c>
    </row>
    <row r="2276" spans="1:10" ht="15.75" x14ac:dyDescent="0.5">
      <c r="A2276" s="13" t="s">
        <v>357</v>
      </c>
      <c r="B2276" s="13" t="s">
        <v>406</v>
      </c>
      <c r="C2276" s="13" t="s">
        <v>400</v>
      </c>
      <c r="D2276" s="14">
        <v>23.479196814299328</v>
      </c>
      <c r="E2276" s="14">
        <v>33.768184079537129</v>
      </c>
      <c r="F2276" s="14">
        <v>48.364080478346651</v>
      </c>
      <c r="G2276" s="14">
        <v>50.749334263800861</v>
      </c>
      <c r="H2276" s="14">
        <v>52.598182549776595</v>
      </c>
      <c r="I2276" s="14">
        <v>82.144408382152136</v>
      </c>
      <c r="J2276" s="14">
        <v>118.69142522364399</v>
      </c>
    </row>
    <row r="2277" spans="1:10" ht="15.75" x14ac:dyDescent="0.5">
      <c r="A2277" s="13" t="s">
        <v>357</v>
      </c>
      <c r="B2277" s="13" t="s">
        <v>407</v>
      </c>
      <c r="C2277" s="13" t="s">
        <v>400</v>
      </c>
      <c r="D2277" s="14" t="s">
        <v>250</v>
      </c>
      <c r="E2277" s="14">
        <v>95.066521719482438</v>
      </c>
      <c r="F2277" s="14">
        <v>133.42539010319211</v>
      </c>
      <c r="G2277" s="14">
        <v>126.63620703814728</v>
      </c>
      <c r="H2277" s="14">
        <v>131.77183509275349</v>
      </c>
      <c r="I2277" s="14">
        <v>230.83596595244529</v>
      </c>
      <c r="J2277" s="14">
        <v>405.01567937421993</v>
      </c>
    </row>
    <row r="2278" spans="1:10" ht="15.75" x14ac:dyDescent="0.5">
      <c r="A2278" s="13" t="s">
        <v>357</v>
      </c>
      <c r="B2278" s="13" t="s">
        <v>408</v>
      </c>
      <c r="C2278" s="13" t="s">
        <v>400</v>
      </c>
      <c r="D2278" s="14">
        <v>46.892290321001234</v>
      </c>
      <c r="E2278" s="14">
        <v>30.693926002619104</v>
      </c>
      <c r="F2278" s="14">
        <v>23.42311254158578</v>
      </c>
      <c r="G2278" s="14">
        <v>28.178285564148783</v>
      </c>
      <c r="H2278" s="14">
        <v>7.0557240586871393</v>
      </c>
      <c r="I2278" s="14">
        <v>41.551855178374865</v>
      </c>
      <c r="J2278" s="14">
        <v>46.430214440543232</v>
      </c>
    </row>
    <row r="2279" spans="1:10" ht="15.75" x14ac:dyDescent="0.5">
      <c r="A2279" s="13" t="s">
        <v>357</v>
      </c>
      <c r="B2279" s="13" t="s">
        <v>409</v>
      </c>
      <c r="C2279" s="13" t="s">
        <v>400</v>
      </c>
      <c r="D2279" s="14">
        <v>18.365704270000034</v>
      </c>
      <c r="E2279" s="14">
        <v>18.365704270000037</v>
      </c>
      <c r="F2279" s="14">
        <v>18.36570427000003</v>
      </c>
      <c r="G2279" s="14">
        <v>18.365704270000037</v>
      </c>
      <c r="H2279" s="14">
        <v>18.365704270000034</v>
      </c>
      <c r="I2279" s="14">
        <v>18.365704270000034</v>
      </c>
      <c r="J2279" s="14">
        <v>18.365704270000037</v>
      </c>
    </row>
    <row r="2280" spans="1:10" ht="15.75" x14ac:dyDescent="0.5">
      <c r="A2280" s="13" t="s">
        <v>357</v>
      </c>
      <c r="B2280" s="13" t="s">
        <v>410</v>
      </c>
      <c r="C2280" s="13" t="s">
        <v>400</v>
      </c>
      <c r="D2280" s="14">
        <v>245.79356253202212</v>
      </c>
      <c r="E2280" s="14">
        <v>244.57174683338044</v>
      </c>
      <c r="F2280" s="14">
        <v>246.12445039392074</v>
      </c>
      <c r="G2280" s="14">
        <v>245.92744680971396</v>
      </c>
      <c r="H2280" s="14">
        <v>246.16997594139261</v>
      </c>
      <c r="I2280" s="14">
        <v>246.16997594080823</v>
      </c>
      <c r="J2280" s="14">
        <v>245.94587129906174</v>
      </c>
    </row>
    <row r="2281" spans="1:10" ht="15.75" x14ac:dyDescent="0.5">
      <c r="A2281" s="13" t="s">
        <v>357</v>
      </c>
      <c r="B2281" s="13" t="s">
        <v>411</v>
      </c>
      <c r="C2281" s="13" t="s">
        <v>400</v>
      </c>
      <c r="D2281" s="14">
        <v>7.1394000000000171</v>
      </c>
      <c r="E2281" s="14">
        <v>3.5593489051094975</v>
      </c>
      <c r="F2281" s="14" t="s">
        <v>250</v>
      </c>
      <c r="G2281" s="14" t="s">
        <v>250</v>
      </c>
      <c r="H2281" s="14" t="s">
        <v>250</v>
      </c>
      <c r="I2281" s="14" t="s">
        <v>250</v>
      </c>
      <c r="J2281" s="14" t="s">
        <v>250</v>
      </c>
    </row>
    <row r="2282" spans="1:10" ht="15.75" x14ac:dyDescent="0.5">
      <c r="A2282" s="13" t="s">
        <v>357</v>
      </c>
      <c r="B2282" s="13" t="s">
        <v>412</v>
      </c>
      <c r="C2282" s="13" t="s">
        <v>400</v>
      </c>
      <c r="D2282" s="14">
        <v>760.72545968400198</v>
      </c>
      <c r="E2282" s="14">
        <v>744.18185575333928</v>
      </c>
      <c r="F2282" s="14">
        <v>616.60606358806342</v>
      </c>
      <c r="G2282" s="14">
        <v>657.59371394035202</v>
      </c>
      <c r="H2282" s="14">
        <v>443.56996159562112</v>
      </c>
      <c r="I2282" s="14">
        <v>693.12608909224991</v>
      </c>
      <c r="J2282" s="14">
        <v>742.11789388462626</v>
      </c>
    </row>
    <row r="2283" spans="1:10" ht="15.75" x14ac:dyDescent="0.5">
      <c r="A2283" s="13" t="s">
        <v>357</v>
      </c>
      <c r="B2283" s="13" t="s">
        <v>413</v>
      </c>
      <c r="C2283" s="13" t="s">
        <v>400</v>
      </c>
      <c r="D2283" s="14">
        <v>23.702927619886143</v>
      </c>
      <c r="E2283" s="14">
        <v>30.819882277260579</v>
      </c>
      <c r="F2283" s="14">
        <v>16.123977965374131</v>
      </c>
      <c r="G2283" s="14">
        <v>4.1688534179398093</v>
      </c>
      <c r="H2283" s="14">
        <v>0.29799810835985296</v>
      </c>
      <c r="I2283" s="14">
        <v>0.22405877730844481</v>
      </c>
      <c r="J2283" s="14" t="s">
        <v>250</v>
      </c>
    </row>
    <row r="2284" spans="1:10" ht="15.75" x14ac:dyDescent="0.5">
      <c r="A2284" s="13" t="s">
        <v>357</v>
      </c>
      <c r="B2284" s="13" t="s">
        <v>414</v>
      </c>
      <c r="C2284" s="13" t="s">
        <v>400</v>
      </c>
      <c r="D2284" s="14">
        <v>0.6803907705109502</v>
      </c>
      <c r="E2284" s="14">
        <v>25.068529386835337</v>
      </c>
      <c r="F2284" s="14">
        <v>94.430808398957112</v>
      </c>
      <c r="G2284" s="14">
        <v>188.26485544583718</v>
      </c>
      <c r="H2284" s="14">
        <v>240.50164301466953</v>
      </c>
      <c r="I2284" s="14">
        <v>241.11478021323268</v>
      </c>
      <c r="J2284" s="14">
        <v>241.55273535506402</v>
      </c>
    </row>
    <row r="2285" spans="1:10" ht="15.75" x14ac:dyDescent="0.5">
      <c r="A2285" s="13" t="s">
        <v>357</v>
      </c>
      <c r="B2285" s="13" t="s">
        <v>415</v>
      </c>
      <c r="C2285" s="13" t="s">
        <v>400</v>
      </c>
      <c r="D2285" s="14">
        <v>440.53124483255573</v>
      </c>
      <c r="E2285" s="14">
        <v>864.39425620266775</v>
      </c>
      <c r="F2285" s="14">
        <v>1325.7186134567637</v>
      </c>
      <c r="G2285" s="14">
        <v>1402.6162098378918</v>
      </c>
      <c r="H2285" s="14">
        <v>1507.1605470251384</v>
      </c>
      <c r="I2285" s="14">
        <v>1619.1468987401845</v>
      </c>
      <c r="J2285" s="14">
        <v>2160.7813202671969</v>
      </c>
    </row>
    <row r="2286" spans="1:10" ht="15.75" x14ac:dyDescent="0.5">
      <c r="A2286" s="13" t="s">
        <v>357</v>
      </c>
      <c r="B2286" s="13" t="s">
        <v>416</v>
      </c>
      <c r="C2286" s="13" t="s">
        <v>400</v>
      </c>
      <c r="D2286" s="14" t="s">
        <v>250</v>
      </c>
      <c r="E2286" s="14">
        <v>54.174742594981012</v>
      </c>
      <c r="F2286" s="14">
        <v>66.675949052097479</v>
      </c>
      <c r="G2286" s="14">
        <v>76.801435170202083</v>
      </c>
      <c r="H2286" s="14">
        <v>77.990654991853717</v>
      </c>
      <c r="I2286" s="14">
        <v>82.68305730948768</v>
      </c>
      <c r="J2286" s="14">
        <v>94.727837483420942</v>
      </c>
    </row>
    <row r="2287" spans="1:10" ht="15.75" x14ac:dyDescent="0.5">
      <c r="A2287" s="13" t="s">
        <v>357</v>
      </c>
      <c r="B2287" s="13" t="s">
        <v>417</v>
      </c>
      <c r="C2287" s="13" t="s">
        <v>400</v>
      </c>
      <c r="D2287" s="14">
        <v>187.48709633408689</v>
      </c>
      <c r="E2287" s="14">
        <v>300.46762241003165</v>
      </c>
      <c r="F2287" s="14">
        <v>343.21071830874547</v>
      </c>
      <c r="G2287" s="14">
        <v>411.10290922237601</v>
      </c>
      <c r="H2287" s="14">
        <v>542.0996254789319</v>
      </c>
      <c r="I2287" s="14">
        <v>742.25177751521107</v>
      </c>
      <c r="J2287" s="14">
        <v>1475.5953837379586</v>
      </c>
    </row>
    <row r="2288" spans="1:10" ht="15.75" x14ac:dyDescent="0.5">
      <c r="A2288" s="13" t="s">
        <v>357</v>
      </c>
      <c r="B2288" s="13" t="s">
        <v>418</v>
      </c>
      <c r="C2288" s="13" t="s">
        <v>400</v>
      </c>
      <c r="D2288" s="14">
        <v>3.1841751731019539</v>
      </c>
      <c r="E2288" s="14">
        <v>3.1841751731019534</v>
      </c>
      <c r="F2288" s="14">
        <v>3.1841751731019534</v>
      </c>
      <c r="G2288" s="14">
        <v>3.1841751731019534</v>
      </c>
      <c r="H2288" s="14">
        <v>3.184175173101953</v>
      </c>
      <c r="I2288" s="14">
        <v>3.184175173101953</v>
      </c>
      <c r="J2288" s="14">
        <v>3.1841751731019534</v>
      </c>
    </row>
    <row r="2289" spans="1:10" ht="15.75" x14ac:dyDescent="0.5">
      <c r="A2289" s="13" t="s">
        <v>357</v>
      </c>
      <c r="B2289" s="13" t="s">
        <v>419</v>
      </c>
      <c r="C2289" s="13" t="s">
        <v>400</v>
      </c>
      <c r="D2289" s="14">
        <v>0.54465920264079504</v>
      </c>
      <c r="E2289" s="14">
        <v>9.189719786825842</v>
      </c>
      <c r="F2289" s="14">
        <v>20.102830395552463</v>
      </c>
      <c r="G2289" s="14">
        <v>18.875622073317935</v>
      </c>
      <c r="H2289" s="14">
        <v>28.512951247652389</v>
      </c>
      <c r="I2289" s="14">
        <v>44.167946617504199</v>
      </c>
      <c r="J2289" s="14">
        <v>148.37111724673534</v>
      </c>
    </row>
    <row r="2290" spans="1:10" ht="15.75" x14ac:dyDescent="0.5">
      <c r="A2290" s="13" t="s">
        <v>357</v>
      </c>
      <c r="B2290" s="13" t="s">
        <v>420</v>
      </c>
      <c r="C2290" s="13" t="s">
        <v>400</v>
      </c>
      <c r="D2290" s="14">
        <v>-13.987252957808362</v>
      </c>
      <c r="E2290" s="14">
        <v>-14.08207549757746</v>
      </c>
      <c r="F2290" s="14">
        <v>-13.481349999431895</v>
      </c>
      <c r="G2290" s="14">
        <v>-12.112740200004794</v>
      </c>
      <c r="H2290" s="14">
        <v>-18.596204481123582</v>
      </c>
      <c r="I2290" s="14">
        <v>-19.22316264248423</v>
      </c>
      <c r="J2290" s="14">
        <v>-14.914295610604919</v>
      </c>
    </row>
    <row r="2291" spans="1:10" ht="15.75" x14ac:dyDescent="0.5">
      <c r="A2291" s="13" t="s">
        <v>358</v>
      </c>
      <c r="B2291" s="13" t="s">
        <v>399</v>
      </c>
      <c r="C2291" s="13" t="s">
        <v>400</v>
      </c>
      <c r="D2291" s="14">
        <v>7.2499064625597889</v>
      </c>
      <c r="E2291" s="14">
        <v>4.2389343065693544E-2</v>
      </c>
      <c r="F2291" s="14">
        <v>0.51246000000000114</v>
      </c>
      <c r="G2291" s="14">
        <v>1.4715840000000022</v>
      </c>
      <c r="H2291" s="14">
        <v>2.4803509489051159</v>
      </c>
      <c r="I2291" s="14">
        <v>2.0289277674079029</v>
      </c>
      <c r="J2291" s="14">
        <v>2.0793003503649676</v>
      </c>
    </row>
    <row r="2292" spans="1:10" ht="15.75" x14ac:dyDescent="0.5">
      <c r="A2292" s="13" t="s">
        <v>358</v>
      </c>
      <c r="B2292" s="13" t="s">
        <v>401</v>
      </c>
      <c r="C2292" s="13" t="s">
        <v>400</v>
      </c>
      <c r="D2292" s="14" t="s">
        <v>250</v>
      </c>
      <c r="E2292" s="14" t="s">
        <v>250</v>
      </c>
      <c r="F2292" s="14">
        <v>90.058833578562911</v>
      </c>
      <c r="G2292" s="14">
        <v>90.058833578562911</v>
      </c>
      <c r="H2292" s="14">
        <v>6.3696183790609435</v>
      </c>
      <c r="I2292" s="14">
        <v>6.3696183790609426</v>
      </c>
      <c r="J2292" s="14" t="s">
        <v>250</v>
      </c>
    </row>
    <row r="2293" spans="1:10" ht="15.75" x14ac:dyDescent="0.5">
      <c r="A2293" s="13" t="s">
        <v>358</v>
      </c>
      <c r="B2293" s="13" t="s">
        <v>402</v>
      </c>
      <c r="C2293" s="13" t="s">
        <v>400</v>
      </c>
      <c r="D2293" s="14">
        <v>1072.9916742877467</v>
      </c>
      <c r="E2293" s="14">
        <v>284.90528863203593</v>
      </c>
      <c r="F2293" s="14">
        <v>149.82373451385371</v>
      </c>
      <c r="G2293" s="14">
        <v>132.83439407752937</v>
      </c>
      <c r="H2293" s="14">
        <v>71.680001094250485</v>
      </c>
      <c r="I2293" s="14">
        <v>35.666611901424297</v>
      </c>
      <c r="J2293" s="14" t="s">
        <v>250</v>
      </c>
    </row>
    <row r="2294" spans="1:10" ht="15.75" x14ac:dyDescent="0.5">
      <c r="A2294" s="13" t="s">
        <v>358</v>
      </c>
      <c r="B2294" s="13" t="s">
        <v>403</v>
      </c>
      <c r="C2294" s="13" t="s">
        <v>400</v>
      </c>
      <c r="D2294" s="14" t="s">
        <v>250</v>
      </c>
      <c r="E2294" s="14" t="s">
        <v>250</v>
      </c>
      <c r="F2294" s="14">
        <v>76.676767828500232</v>
      </c>
      <c r="G2294" s="14">
        <v>76.676767828500275</v>
      </c>
      <c r="H2294" s="14">
        <v>15.503446159953977</v>
      </c>
      <c r="I2294" s="14">
        <v>15.503446159953981</v>
      </c>
      <c r="J2294" s="14" t="s">
        <v>250</v>
      </c>
    </row>
    <row r="2295" spans="1:10" ht="15.75" x14ac:dyDescent="0.5">
      <c r="A2295" s="13" t="s">
        <v>358</v>
      </c>
      <c r="B2295" s="13" t="s">
        <v>404</v>
      </c>
      <c r="C2295" s="13" t="s">
        <v>400</v>
      </c>
      <c r="D2295" s="14" t="s">
        <v>250</v>
      </c>
      <c r="E2295" s="14" t="s">
        <v>250</v>
      </c>
      <c r="F2295" s="14" t="s">
        <v>250</v>
      </c>
      <c r="G2295" s="14" t="s">
        <v>250</v>
      </c>
      <c r="H2295" s="14" t="s">
        <v>250</v>
      </c>
      <c r="I2295" s="14">
        <v>0.3306989691452854</v>
      </c>
      <c r="J2295" s="14">
        <v>18.731630787985548</v>
      </c>
    </row>
    <row r="2296" spans="1:10" ht="15.75" x14ac:dyDescent="0.5">
      <c r="A2296" s="13" t="s">
        <v>358</v>
      </c>
      <c r="B2296" s="13" t="s">
        <v>421</v>
      </c>
      <c r="C2296" s="13" t="s">
        <v>400</v>
      </c>
      <c r="D2296" s="14" t="s">
        <v>250</v>
      </c>
      <c r="E2296" s="14" t="s">
        <v>250</v>
      </c>
      <c r="F2296" s="14" t="s">
        <v>250</v>
      </c>
      <c r="G2296" s="14">
        <v>1223.3755788450135</v>
      </c>
      <c r="H2296" s="14">
        <v>3143.4675190444887</v>
      </c>
      <c r="I2296" s="14">
        <v>3296.2461575180478</v>
      </c>
      <c r="J2296" s="14">
        <v>1918.1050500330225</v>
      </c>
    </row>
    <row r="2297" spans="1:10" ht="15.75" x14ac:dyDescent="0.5">
      <c r="A2297" s="13" t="s">
        <v>358</v>
      </c>
      <c r="B2297" s="13" t="s">
        <v>405</v>
      </c>
      <c r="C2297" s="13" t="s">
        <v>400</v>
      </c>
      <c r="D2297" s="14">
        <v>1259.3891290889944</v>
      </c>
      <c r="E2297" s="14">
        <v>1470.3993827186052</v>
      </c>
      <c r="F2297" s="14">
        <v>1469.5630359983004</v>
      </c>
      <c r="G2297" s="14">
        <v>1064.3888105562744</v>
      </c>
      <c r="H2297" s="14">
        <v>456.90269451483459</v>
      </c>
      <c r="I2297" s="14">
        <v>456.62035362646401</v>
      </c>
      <c r="J2297" s="14">
        <v>112.62316491231321</v>
      </c>
    </row>
    <row r="2298" spans="1:10" ht="15.75" x14ac:dyDescent="0.5">
      <c r="A2298" s="13" t="s">
        <v>358</v>
      </c>
      <c r="B2298" s="13" t="s">
        <v>406</v>
      </c>
      <c r="C2298" s="13" t="s">
        <v>400</v>
      </c>
      <c r="D2298" s="14">
        <v>23.479196814299335</v>
      </c>
      <c r="E2298" s="14">
        <v>33.165280787092676</v>
      </c>
      <c r="F2298" s="14">
        <v>47.552464972829632</v>
      </c>
      <c r="G2298" s="14">
        <v>50.29560624497374</v>
      </c>
      <c r="H2298" s="14">
        <v>52.678786229173383</v>
      </c>
      <c r="I2298" s="14">
        <v>80.170669866698688</v>
      </c>
      <c r="J2298" s="14">
        <v>114.29770932206897</v>
      </c>
    </row>
    <row r="2299" spans="1:10" ht="15.75" x14ac:dyDescent="0.5">
      <c r="A2299" s="13" t="s">
        <v>358</v>
      </c>
      <c r="B2299" s="13" t="s">
        <v>407</v>
      </c>
      <c r="C2299" s="13" t="s">
        <v>400</v>
      </c>
      <c r="D2299" s="14" t="s">
        <v>250</v>
      </c>
      <c r="E2299" s="14">
        <v>95.986064711082648</v>
      </c>
      <c r="F2299" s="14">
        <v>130.09229028249612</v>
      </c>
      <c r="G2299" s="14">
        <v>125.6597433058122</v>
      </c>
      <c r="H2299" s="14">
        <v>129.13757992881725</v>
      </c>
      <c r="I2299" s="14">
        <v>221.49917583123516</v>
      </c>
      <c r="J2299" s="14">
        <v>342.93172539547254</v>
      </c>
    </row>
    <row r="2300" spans="1:10" ht="15.75" x14ac:dyDescent="0.5">
      <c r="A2300" s="13" t="s">
        <v>358</v>
      </c>
      <c r="B2300" s="13" t="s">
        <v>408</v>
      </c>
      <c r="C2300" s="13" t="s">
        <v>400</v>
      </c>
      <c r="D2300" s="14">
        <v>46.892290321001241</v>
      </c>
      <c r="E2300" s="14">
        <v>30.623908748683281</v>
      </c>
      <c r="F2300" s="14">
        <v>23.325484583698337</v>
      </c>
      <c r="G2300" s="14">
        <v>27.738016545193723</v>
      </c>
      <c r="H2300" s="14">
        <v>7.192015366740268</v>
      </c>
      <c r="I2300" s="14">
        <v>42.561987843208414</v>
      </c>
      <c r="J2300" s="14">
        <v>46.274085439676661</v>
      </c>
    </row>
    <row r="2301" spans="1:10" ht="15.75" x14ac:dyDescent="0.5">
      <c r="A2301" s="13" t="s">
        <v>358</v>
      </c>
      <c r="B2301" s="13" t="s">
        <v>409</v>
      </c>
      <c r="C2301" s="13" t="s">
        <v>400</v>
      </c>
      <c r="D2301" s="14">
        <v>18.365704270000037</v>
      </c>
      <c r="E2301" s="14">
        <v>18.365704270000037</v>
      </c>
      <c r="F2301" s="14">
        <v>18.36570427000003</v>
      </c>
      <c r="G2301" s="14">
        <v>18.365704270000034</v>
      </c>
      <c r="H2301" s="14">
        <v>18.365704270000037</v>
      </c>
      <c r="I2301" s="14">
        <v>18.365704270000037</v>
      </c>
      <c r="J2301" s="14">
        <v>18.365704270000037</v>
      </c>
    </row>
    <row r="2302" spans="1:10" ht="15.75" x14ac:dyDescent="0.5">
      <c r="A2302" s="13" t="s">
        <v>358</v>
      </c>
      <c r="B2302" s="13" t="s">
        <v>410</v>
      </c>
      <c r="C2302" s="13" t="s">
        <v>400</v>
      </c>
      <c r="D2302" s="14">
        <v>245.79356253202212</v>
      </c>
      <c r="E2302" s="14">
        <v>244.57653320468987</v>
      </c>
      <c r="F2302" s="14">
        <v>246.09944747423768</v>
      </c>
      <c r="G2302" s="14">
        <v>245.93452232461598</v>
      </c>
      <c r="H2302" s="14">
        <v>246.16997594140889</v>
      </c>
      <c r="I2302" s="14">
        <v>246.16997594139454</v>
      </c>
      <c r="J2302" s="14">
        <v>246.14847148854832</v>
      </c>
    </row>
    <row r="2303" spans="1:10" ht="15.75" x14ac:dyDescent="0.5">
      <c r="A2303" s="13" t="s">
        <v>358</v>
      </c>
      <c r="B2303" s="13" t="s">
        <v>411</v>
      </c>
      <c r="C2303" s="13" t="s">
        <v>400</v>
      </c>
      <c r="D2303" s="14">
        <v>7.1394000000000188</v>
      </c>
      <c r="E2303" s="14">
        <v>3.559348905109498</v>
      </c>
      <c r="F2303" s="14" t="s">
        <v>250</v>
      </c>
      <c r="G2303" s="14" t="s">
        <v>250</v>
      </c>
      <c r="H2303" s="14" t="s">
        <v>250</v>
      </c>
      <c r="I2303" s="14" t="s">
        <v>250</v>
      </c>
      <c r="J2303" s="14" t="s">
        <v>250</v>
      </c>
    </row>
    <row r="2304" spans="1:10" ht="15.75" x14ac:dyDescent="0.5">
      <c r="A2304" s="13" t="s">
        <v>358</v>
      </c>
      <c r="B2304" s="13" t="s">
        <v>412</v>
      </c>
      <c r="C2304" s="13" t="s">
        <v>400</v>
      </c>
      <c r="D2304" s="14">
        <v>760.72545968400175</v>
      </c>
      <c r="E2304" s="14">
        <v>744.13530653687769</v>
      </c>
      <c r="F2304" s="14">
        <v>611.72917395380591</v>
      </c>
      <c r="G2304" s="14">
        <v>654.29205411256714</v>
      </c>
      <c r="H2304" s="14">
        <v>478.46444154458453</v>
      </c>
      <c r="I2304" s="14">
        <v>786.66517292169306</v>
      </c>
      <c r="J2304" s="14">
        <v>1774.018942213705</v>
      </c>
    </row>
    <row r="2305" spans="1:10" ht="15.75" x14ac:dyDescent="0.5">
      <c r="A2305" s="13" t="s">
        <v>358</v>
      </c>
      <c r="B2305" s="13" t="s">
        <v>413</v>
      </c>
      <c r="C2305" s="13" t="s">
        <v>400</v>
      </c>
      <c r="D2305" s="14">
        <v>23.702927619886133</v>
      </c>
      <c r="E2305" s="14">
        <v>30.567418820938368</v>
      </c>
      <c r="F2305" s="14">
        <v>15.809399221603201</v>
      </c>
      <c r="G2305" s="14">
        <v>4.1328840500068589</v>
      </c>
      <c r="H2305" s="14">
        <v>0.37949608887803443</v>
      </c>
      <c r="I2305" s="14">
        <v>0.36134775356659182</v>
      </c>
      <c r="J2305" s="14" t="s">
        <v>250</v>
      </c>
    </row>
    <row r="2306" spans="1:10" ht="15.75" x14ac:dyDescent="0.5">
      <c r="A2306" s="13" t="s">
        <v>358</v>
      </c>
      <c r="B2306" s="13" t="s">
        <v>414</v>
      </c>
      <c r="C2306" s="13" t="s">
        <v>400</v>
      </c>
      <c r="D2306" s="14">
        <v>0.68039077051095009</v>
      </c>
      <c r="E2306" s="14">
        <v>25.069303821738728</v>
      </c>
      <c r="F2306" s="14">
        <v>94.429065864716549</v>
      </c>
      <c r="G2306" s="14">
        <v>188.24853139557732</v>
      </c>
      <c r="H2306" s="14">
        <v>240.47528712493087</v>
      </c>
      <c r="I2306" s="14">
        <v>241.08834750016351</v>
      </c>
      <c r="J2306" s="14">
        <v>241.52624776818732</v>
      </c>
    </row>
    <row r="2307" spans="1:10" ht="15.75" x14ac:dyDescent="0.5">
      <c r="A2307" s="13" t="s">
        <v>358</v>
      </c>
      <c r="B2307" s="13" t="s">
        <v>415</v>
      </c>
      <c r="C2307" s="13" t="s">
        <v>400</v>
      </c>
      <c r="D2307" s="14">
        <v>440.53124483255561</v>
      </c>
      <c r="E2307" s="14">
        <v>864.39425681283069</v>
      </c>
      <c r="F2307" s="14">
        <v>1325.7076652072737</v>
      </c>
      <c r="G2307" s="14">
        <v>1402.2154179779038</v>
      </c>
      <c r="H2307" s="14">
        <v>1497.1057922161208</v>
      </c>
      <c r="I2307" s="14">
        <v>1584.1314192656241</v>
      </c>
      <c r="J2307" s="14">
        <v>1976.5695106975554</v>
      </c>
    </row>
    <row r="2308" spans="1:10" ht="15.75" x14ac:dyDescent="0.5">
      <c r="A2308" s="13" t="s">
        <v>358</v>
      </c>
      <c r="B2308" s="13" t="s">
        <v>416</v>
      </c>
      <c r="C2308" s="13" t="s">
        <v>400</v>
      </c>
      <c r="D2308" s="14" t="s">
        <v>250</v>
      </c>
      <c r="E2308" s="14">
        <v>54.174742594980984</v>
      </c>
      <c r="F2308" s="14">
        <v>66.675949052097465</v>
      </c>
      <c r="G2308" s="14">
        <v>76.80143517020214</v>
      </c>
      <c r="H2308" s="14">
        <v>77.990654991853674</v>
      </c>
      <c r="I2308" s="14">
        <v>82.683057309487708</v>
      </c>
      <c r="J2308" s="14">
        <v>94.727837483420956</v>
      </c>
    </row>
    <row r="2309" spans="1:10" ht="15.75" x14ac:dyDescent="0.5">
      <c r="A2309" s="13" t="s">
        <v>358</v>
      </c>
      <c r="B2309" s="13" t="s">
        <v>417</v>
      </c>
      <c r="C2309" s="13" t="s">
        <v>400</v>
      </c>
      <c r="D2309" s="14">
        <v>187.48709633408691</v>
      </c>
      <c r="E2309" s="14">
        <v>300.46762241003171</v>
      </c>
      <c r="F2309" s="14">
        <v>343.21071830874553</v>
      </c>
      <c r="G2309" s="14">
        <v>411.5947021540718</v>
      </c>
      <c r="H2309" s="14">
        <v>538.45091497803469</v>
      </c>
      <c r="I2309" s="14">
        <v>716.97568018812763</v>
      </c>
      <c r="J2309" s="14">
        <v>1472.7293877004868</v>
      </c>
    </row>
    <row r="2310" spans="1:10" ht="15.75" x14ac:dyDescent="0.5">
      <c r="A2310" s="13" t="s">
        <v>358</v>
      </c>
      <c r="B2310" s="13" t="s">
        <v>418</v>
      </c>
      <c r="C2310" s="13" t="s">
        <v>400</v>
      </c>
      <c r="D2310" s="14">
        <v>3.1841751731019534</v>
      </c>
      <c r="E2310" s="14">
        <v>3.184175173101953</v>
      </c>
      <c r="F2310" s="14">
        <v>3.1841751731019534</v>
      </c>
      <c r="G2310" s="14">
        <v>3.184175173101953</v>
      </c>
      <c r="H2310" s="14">
        <v>3.1841751731019539</v>
      </c>
      <c r="I2310" s="14">
        <v>3.184175173101953</v>
      </c>
      <c r="J2310" s="14">
        <v>3.1841751731019534</v>
      </c>
    </row>
    <row r="2311" spans="1:10" ht="15.75" x14ac:dyDescent="0.5">
      <c r="A2311" s="13" t="s">
        <v>358</v>
      </c>
      <c r="B2311" s="13" t="s">
        <v>419</v>
      </c>
      <c r="C2311" s="13" t="s">
        <v>400</v>
      </c>
      <c r="D2311" s="14">
        <v>0.54465920264079504</v>
      </c>
      <c r="E2311" s="14">
        <v>9.2411282829265176</v>
      </c>
      <c r="F2311" s="14">
        <v>19.838802826550033</v>
      </c>
      <c r="G2311" s="14">
        <v>18.507040756730259</v>
      </c>
      <c r="H2311" s="14">
        <v>28.738917588644696</v>
      </c>
      <c r="I2311" s="14">
        <v>44.900997025834101</v>
      </c>
      <c r="J2311" s="14">
        <v>87.038370370760759</v>
      </c>
    </row>
    <row r="2312" spans="1:10" ht="15.75" x14ac:dyDescent="0.5">
      <c r="A2312" s="13" t="s">
        <v>358</v>
      </c>
      <c r="B2312" s="13" t="s">
        <v>420</v>
      </c>
      <c r="C2312" s="13" t="s">
        <v>400</v>
      </c>
      <c r="D2312" s="14">
        <v>-13.987252957808359</v>
      </c>
      <c r="E2312" s="14">
        <v>-14.068076912818126</v>
      </c>
      <c r="F2312" s="14">
        <v>-13.466902942573247</v>
      </c>
      <c r="G2312" s="14">
        <v>-12.151094756735489</v>
      </c>
      <c r="H2312" s="14">
        <v>-18.962380604714994</v>
      </c>
      <c r="I2312" s="14">
        <v>-19.595680717319055</v>
      </c>
      <c r="J2312" s="14">
        <v>-13.487348749000336</v>
      </c>
    </row>
    <row r="2313" spans="1:10" ht="15.75" x14ac:dyDescent="0.5">
      <c r="A2313" s="13" t="s">
        <v>359</v>
      </c>
      <c r="B2313" s="13" t="s">
        <v>399</v>
      </c>
      <c r="C2313" s="13" t="s">
        <v>400</v>
      </c>
      <c r="D2313" s="14">
        <v>7.2499064625597889</v>
      </c>
      <c r="E2313" s="14">
        <v>0.29730534306569401</v>
      </c>
      <c r="F2313" s="14">
        <v>0.51246000000000125</v>
      </c>
      <c r="G2313" s="14">
        <v>1.3298518805748258</v>
      </c>
      <c r="H2313" s="14">
        <v>2.1287128246262319</v>
      </c>
      <c r="I2313" s="14">
        <v>1.163778218978105</v>
      </c>
      <c r="J2313" s="14">
        <v>0.146538858524946</v>
      </c>
    </row>
    <row r="2314" spans="1:10" ht="15.75" x14ac:dyDescent="0.5">
      <c r="A2314" s="13" t="s">
        <v>359</v>
      </c>
      <c r="B2314" s="13" t="s">
        <v>401</v>
      </c>
      <c r="C2314" s="13" t="s">
        <v>400</v>
      </c>
      <c r="D2314" s="14" t="s">
        <v>250</v>
      </c>
      <c r="E2314" s="14" t="s">
        <v>250</v>
      </c>
      <c r="F2314" s="14">
        <v>89.239292972497125</v>
      </c>
      <c r="G2314" s="14">
        <v>89.239292972497097</v>
      </c>
      <c r="H2314" s="14">
        <v>7.9772605917490953</v>
      </c>
      <c r="I2314" s="14">
        <v>7.855382053483245</v>
      </c>
      <c r="J2314" s="14" t="s">
        <v>250</v>
      </c>
    </row>
    <row r="2315" spans="1:10" ht="15.75" x14ac:dyDescent="0.5">
      <c r="A2315" s="13" t="s">
        <v>359</v>
      </c>
      <c r="B2315" s="13" t="s">
        <v>402</v>
      </c>
      <c r="C2315" s="13" t="s">
        <v>400</v>
      </c>
      <c r="D2315" s="14">
        <v>1072.9916742877463</v>
      </c>
      <c r="E2315" s="14">
        <v>279.34705852829387</v>
      </c>
      <c r="F2315" s="14">
        <v>148.39584684858625</v>
      </c>
      <c r="G2315" s="14">
        <v>133.15004963122661</v>
      </c>
      <c r="H2315" s="14">
        <v>80.306197678548713</v>
      </c>
      <c r="I2315" s="14">
        <v>42.519476828096359</v>
      </c>
      <c r="J2315" s="14" t="s">
        <v>250</v>
      </c>
    </row>
    <row r="2316" spans="1:10" ht="15.75" x14ac:dyDescent="0.5">
      <c r="A2316" s="13" t="s">
        <v>359</v>
      </c>
      <c r="B2316" s="13" t="s">
        <v>403</v>
      </c>
      <c r="C2316" s="13" t="s">
        <v>400</v>
      </c>
      <c r="D2316" s="14" t="s">
        <v>250</v>
      </c>
      <c r="E2316" s="14" t="s">
        <v>250</v>
      </c>
      <c r="F2316" s="14">
        <v>75.068202527734073</v>
      </c>
      <c r="G2316" s="14">
        <v>75.068202527734087</v>
      </c>
      <c r="H2316" s="14">
        <v>15.171595865925358</v>
      </c>
      <c r="I2316" s="14">
        <v>15.171595865925362</v>
      </c>
      <c r="J2316" s="14" t="s">
        <v>250</v>
      </c>
    </row>
    <row r="2317" spans="1:10" ht="15.75" x14ac:dyDescent="0.5">
      <c r="A2317" s="13" t="s">
        <v>359</v>
      </c>
      <c r="B2317" s="13" t="s">
        <v>404</v>
      </c>
      <c r="C2317" s="13" t="s">
        <v>400</v>
      </c>
      <c r="D2317" s="14" t="s">
        <v>250</v>
      </c>
      <c r="E2317" s="14" t="s">
        <v>250</v>
      </c>
      <c r="F2317" s="14" t="s">
        <v>250</v>
      </c>
      <c r="G2317" s="14" t="s">
        <v>250</v>
      </c>
      <c r="H2317" s="14" t="s">
        <v>250</v>
      </c>
      <c r="I2317" s="14">
        <v>0.33069896914528535</v>
      </c>
      <c r="J2317" s="14">
        <v>4.3106445771741466</v>
      </c>
    </row>
    <row r="2318" spans="1:10" ht="15.75" x14ac:dyDescent="0.5">
      <c r="A2318" s="13" t="s">
        <v>359</v>
      </c>
      <c r="B2318" s="13" t="s">
        <v>421</v>
      </c>
      <c r="C2318" s="13" t="s">
        <v>400</v>
      </c>
      <c r="D2318" s="14" t="s">
        <v>250</v>
      </c>
      <c r="E2318" s="14" t="s">
        <v>250</v>
      </c>
      <c r="F2318" s="14" t="s">
        <v>250</v>
      </c>
      <c r="G2318" s="14">
        <v>1098.4192490978151</v>
      </c>
      <c r="H2318" s="14">
        <v>2923.752215547257</v>
      </c>
      <c r="I2318" s="14">
        <v>2975.7585239963587</v>
      </c>
      <c r="J2318" s="14">
        <v>526.11402316377621</v>
      </c>
    </row>
    <row r="2319" spans="1:10" ht="15.75" x14ac:dyDescent="0.5">
      <c r="A2319" s="13" t="s">
        <v>359</v>
      </c>
      <c r="B2319" s="13" t="s">
        <v>405</v>
      </c>
      <c r="C2319" s="13" t="s">
        <v>400</v>
      </c>
      <c r="D2319" s="14">
        <v>1259.3891290889937</v>
      </c>
      <c r="E2319" s="14">
        <v>1469.652156133264</v>
      </c>
      <c r="F2319" s="14">
        <v>1489.6525444138813</v>
      </c>
      <c r="G2319" s="14">
        <v>1186.7226956533611</v>
      </c>
      <c r="H2319" s="14">
        <v>499.1846032438911</v>
      </c>
      <c r="I2319" s="14">
        <v>458.89609314492458</v>
      </c>
      <c r="J2319" s="14">
        <v>213.61291702693489</v>
      </c>
    </row>
    <row r="2320" spans="1:10" ht="15.75" x14ac:dyDescent="0.5">
      <c r="A2320" s="13" t="s">
        <v>359</v>
      </c>
      <c r="B2320" s="13" t="s">
        <v>406</v>
      </c>
      <c r="C2320" s="13" t="s">
        <v>400</v>
      </c>
      <c r="D2320" s="14">
        <v>23.479196814299335</v>
      </c>
      <c r="E2320" s="14">
        <v>31.653760558349308</v>
      </c>
      <c r="F2320" s="14">
        <v>46.025346039182878</v>
      </c>
      <c r="G2320" s="14">
        <v>49.46878107481367</v>
      </c>
      <c r="H2320" s="14">
        <v>52.913925539674516</v>
      </c>
      <c r="I2320" s="14">
        <v>69.506320219772718</v>
      </c>
      <c r="J2320" s="14">
        <v>69.707965990239117</v>
      </c>
    </row>
    <row r="2321" spans="1:10" ht="15.75" x14ac:dyDescent="0.5">
      <c r="A2321" s="13" t="s">
        <v>359</v>
      </c>
      <c r="B2321" s="13" t="s">
        <v>407</v>
      </c>
      <c r="C2321" s="13" t="s">
        <v>400</v>
      </c>
      <c r="D2321" s="14" t="s">
        <v>250</v>
      </c>
      <c r="E2321" s="14">
        <v>97.142613362625255</v>
      </c>
      <c r="F2321" s="14">
        <v>112.73389870112261</v>
      </c>
      <c r="G2321" s="14">
        <v>126.8854306639046</v>
      </c>
      <c r="H2321" s="14">
        <v>98.194645453044359</v>
      </c>
      <c r="I2321" s="14">
        <v>131.40837519399477</v>
      </c>
      <c r="J2321" s="14">
        <v>105.96102482686344</v>
      </c>
    </row>
    <row r="2322" spans="1:10" ht="15.75" x14ac:dyDescent="0.5">
      <c r="A2322" s="13" t="s">
        <v>359</v>
      </c>
      <c r="B2322" s="13" t="s">
        <v>408</v>
      </c>
      <c r="C2322" s="13" t="s">
        <v>400</v>
      </c>
      <c r="D2322" s="14">
        <v>46.892290321001234</v>
      </c>
      <c r="E2322" s="14">
        <v>30.503292280665534</v>
      </c>
      <c r="F2322" s="14">
        <v>23.035071506970649</v>
      </c>
      <c r="G2322" s="14">
        <v>27.565054785792945</v>
      </c>
      <c r="H2322" s="14">
        <v>14.310201152475383</v>
      </c>
      <c r="I2322" s="14">
        <v>39.548022172525812</v>
      </c>
      <c r="J2322" s="14">
        <v>40.150819399487062</v>
      </c>
    </row>
    <row r="2323" spans="1:10" ht="15.75" x14ac:dyDescent="0.5">
      <c r="A2323" s="13" t="s">
        <v>359</v>
      </c>
      <c r="B2323" s="13" t="s">
        <v>409</v>
      </c>
      <c r="C2323" s="13" t="s">
        <v>400</v>
      </c>
      <c r="D2323" s="14">
        <v>18.365704270000037</v>
      </c>
      <c r="E2323" s="14">
        <v>18.365704270000034</v>
      </c>
      <c r="F2323" s="14">
        <v>18.365704270000034</v>
      </c>
      <c r="G2323" s="14">
        <v>18.36570427000003</v>
      </c>
      <c r="H2323" s="14">
        <v>18.36570427000003</v>
      </c>
      <c r="I2323" s="14">
        <v>18.36570427000003</v>
      </c>
      <c r="J2323" s="14">
        <v>18.365704270000034</v>
      </c>
    </row>
    <row r="2324" spans="1:10" ht="15.75" x14ac:dyDescent="0.5">
      <c r="A2324" s="13" t="s">
        <v>359</v>
      </c>
      <c r="B2324" s="13" t="s">
        <v>410</v>
      </c>
      <c r="C2324" s="13" t="s">
        <v>400</v>
      </c>
      <c r="D2324" s="14">
        <v>245.79356253202201</v>
      </c>
      <c r="E2324" s="14">
        <v>244.53361890908522</v>
      </c>
      <c r="F2324" s="14">
        <v>246.02639323840921</v>
      </c>
      <c r="G2324" s="14">
        <v>245.9943329045112</v>
      </c>
      <c r="H2324" s="14">
        <v>246.16997594139099</v>
      </c>
      <c r="I2324" s="14">
        <v>246.168543021392</v>
      </c>
      <c r="J2324" s="14">
        <v>246.16854302138933</v>
      </c>
    </row>
    <row r="2325" spans="1:10" ht="15.75" x14ac:dyDescent="0.5">
      <c r="A2325" s="13" t="s">
        <v>359</v>
      </c>
      <c r="B2325" s="13" t="s">
        <v>411</v>
      </c>
      <c r="C2325" s="13" t="s">
        <v>400</v>
      </c>
      <c r="D2325" s="14">
        <v>7.1394000000000188</v>
      </c>
      <c r="E2325" s="14">
        <v>3.5593489051094971</v>
      </c>
      <c r="F2325" s="14" t="s">
        <v>250</v>
      </c>
      <c r="G2325" s="14" t="s">
        <v>250</v>
      </c>
      <c r="H2325" s="14" t="s">
        <v>250</v>
      </c>
      <c r="I2325" s="14" t="s">
        <v>250</v>
      </c>
      <c r="J2325" s="14" t="s">
        <v>250</v>
      </c>
    </row>
    <row r="2326" spans="1:10" ht="15.75" x14ac:dyDescent="0.5">
      <c r="A2326" s="13" t="s">
        <v>359</v>
      </c>
      <c r="B2326" s="13" t="s">
        <v>412</v>
      </c>
      <c r="C2326" s="13" t="s">
        <v>400</v>
      </c>
      <c r="D2326" s="14">
        <v>760.72545968400175</v>
      </c>
      <c r="E2326" s="14">
        <v>751.30456053637454</v>
      </c>
      <c r="F2326" s="14">
        <v>622.99524090323894</v>
      </c>
      <c r="G2326" s="14">
        <v>725.82541485238767</v>
      </c>
      <c r="H2326" s="14">
        <v>835.5399821075207</v>
      </c>
      <c r="I2326" s="14">
        <v>1482.6967631805196</v>
      </c>
      <c r="J2326" s="14">
        <v>4041.3220357519995</v>
      </c>
    </row>
    <row r="2327" spans="1:10" ht="15.75" x14ac:dyDescent="0.5">
      <c r="A2327" s="13" t="s">
        <v>359</v>
      </c>
      <c r="B2327" s="13" t="s">
        <v>413</v>
      </c>
      <c r="C2327" s="13" t="s">
        <v>400</v>
      </c>
      <c r="D2327" s="14">
        <v>23.70292761988614</v>
      </c>
      <c r="E2327" s="14">
        <v>29.808622992506479</v>
      </c>
      <c r="F2327" s="14">
        <v>14.514485923037611</v>
      </c>
      <c r="G2327" s="14">
        <v>4.3991972195975411</v>
      </c>
      <c r="H2327" s="14">
        <v>1.559926540839639</v>
      </c>
      <c r="I2327" s="14">
        <v>0.26709930264143344</v>
      </c>
      <c r="J2327" s="14" t="s">
        <v>250</v>
      </c>
    </row>
    <row r="2328" spans="1:10" ht="15.75" x14ac:dyDescent="0.5">
      <c r="A2328" s="13" t="s">
        <v>359</v>
      </c>
      <c r="B2328" s="13" t="s">
        <v>414</v>
      </c>
      <c r="C2328" s="13" t="s">
        <v>400</v>
      </c>
      <c r="D2328" s="14">
        <v>0.6803907705109502</v>
      </c>
      <c r="E2328" s="14">
        <v>24.78186090327878</v>
      </c>
      <c r="F2328" s="14">
        <v>94.426130038081311</v>
      </c>
      <c r="G2328" s="14">
        <v>188.38436564312047</v>
      </c>
      <c r="H2328" s="14">
        <v>237.23711173716083</v>
      </c>
      <c r="I2328" s="14">
        <v>237.84073333341601</v>
      </c>
      <c r="J2328" s="14">
        <v>238.27189161645592</v>
      </c>
    </row>
    <row r="2329" spans="1:10" ht="15.75" x14ac:dyDescent="0.5">
      <c r="A2329" s="13" t="s">
        <v>359</v>
      </c>
      <c r="B2329" s="13" t="s">
        <v>415</v>
      </c>
      <c r="C2329" s="13" t="s">
        <v>400</v>
      </c>
      <c r="D2329" s="14">
        <v>440.53124483255561</v>
      </c>
      <c r="E2329" s="14">
        <v>864.13933989445047</v>
      </c>
      <c r="F2329" s="14">
        <v>1316.7327412962145</v>
      </c>
      <c r="G2329" s="14">
        <v>1362.5293542591594</v>
      </c>
      <c r="H2329" s="14">
        <v>1423.733667381618</v>
      </c>
      <c r="I2329" s="14">
        <v>1473.7909862042004</v>
      </c>
      <c r="J2329" s="14">
        <v>1523.1311277033524</v>
      </c>
    </row>
    <row r="2330" spans="1:10" ht="15.75" x14ac:dyDescent="0.5">
      <c r="A2330" s="13" t="s">
        <v>359</v>
      </c>
      <c r="B2330" s="13" t="s">
        <v>416</v>
      </c>
      <c r="C2330" s="13" t="s">
        <v>400</v>
      </c>
      <c r="D2330" s="14" t="s">
        <v>250</v>
      </c>
      <c r="E2330" s="14">
        <v>54.174742594980977</v>
      </c>
      <c r="F2330" s="14">
        <v>66.675949052097465</v>
      </c>
      <c r="G2330" s="14">
        <v>76.801435170202126</v>
      </c>
      <c r="H2330" s="14">
        <v>77.990654991853759</v>
      </c>
      <c r="I2330" s="14">
        <v>82.683057309487666</v>
      </c>
      <c r="J2330" s="14">
        <v>94.727837483420956</v>
      </c>
    </row>
    <row r="2331" spans="1:10" ht="15.75" x14ac:dyDescent="0.5">
      <c r="A2331" s="13" t="s">
        <v>359</v>
      </c>
      <c r="B2331" s="13" t="s">
        <v>417</v>
      </c>
      <c r="C2331" s="13" t="s">
        <v>400</v>
      </c>
      <c r="D2331" s="14">
        <v>187.48709633408691</v>
      </c>
      <c r="E2331" s="14">
        <v>300.46762241003165</v>
      </c>
      <c r="F2331" s="14">
        <v>343.2107183087457</v>
      </c>
      <c r="G2331" s="14">
        <v>378.66618087952509</v>
      </c>
      <c r="H2331" s="14">
        <v>429.90740143862882</v>
      </c>
      <c r="I2331" s="14">
        <v>546.00388600056363</v>
      </c>
      <c r="J2331" s="14">
        <v>1283.1082954640267</v>
      </c>
    </row>
    <row r="2332" spans="1:10" ht="15.75" x14ac:dyDescent="0.5">
      <c r="A2332" s="13" t="s">
        <v>359</v>
      </c>
      <c r="B2332" s="13" t="s">
        <v>418</v>
      </c>
      <c r="C2332" s="13" t="s">
        <v>400</v>
      </c>
      <c r="D2332" s="14">
        <v>3.184175173101953</v>
      </c>
      <c r="E2332" s="14">
        <v>3.184175173101953</v>
      </c>
      <c r="F2332" s="14">
        <v>3.1841751731019534</v>
      </c>
      <c r="G2332" s="14">
        <v>3.184175173101953</v>
      </c>
      <c r="H2332" s="14">
        <v>3.1841751731019534</v>
      </c>
      <c r="I2332" s="14">
        <v>3.1841751731019534</v>
      </c>
      <c r="J2332" s="14">
        <v>3.1841751731019534</v>
      </c>
    </row>
    <row r="2333" spans="1:10" ht="15.75" x14ac:dyDescent="0.5">
      <c r="A2333" s="13" t="s">
        <v>359</v>
      </c>
      <c r="B2333" s="13" t="s">
        <v>419</v>
      </c>
      <c r="C2333" s="13" t="s">
        <v>400</v>
      </c>
      <c r="D2333" s="14">
        <v>0.54465920264079504</v>
      </c>
      <c r="E2333" s="14">
        <v>9.1102700791960842</v>
      </c>
      <c r="F2333" s="14">
        <v>18.904876540444459</v>
      </c>
      <c r="G2333" s="14">
        <v>18.120199369248915</v>
      </c>
      <c r="H2333" s="14">
        <v>25.092252920701569</v>
      </c>
      <c r="I2333" s="14">
        <v>34.093483753422866</v>
      </c>
      <c r="J2333" s="14">
        <v>55.890016030929118</v>
      </c>
    </row>
    <row r="2334" spans="1:10" ht="15.75" x14ac:dyDescent="0.5">
      <c r="A2334" s="13" t="s">
        <v>359</v>
      </c>
      <c r="B2334" s="13" t="s">
        <v>420</v>
      </c>
      <c r="C2334" s="13" t="s">
        <v>400</v>
      </c>
      <c r="D2334" s="14">
        <v>-13.987252957808382</v>
      </c>
      <c r="E2334" s="14">
        <v>-14.058205855519262</v>
      </c>
      <c r="F2334" s="14">
        <v>-13.531584043651025</v>
      </c>
      <c r="G2334" s="14">
        <v>-12.69951083253736</v>
      </c>
      <c r="H2334" s="14">
        <v>-18.358184973756231</v>
      </c>
      <c r="I2334" s="14">
        <v>-17.410753148757983</v>
      </c>
      <c r="J2334" s="14">
        <v>-17.454142616590225</v>
      </c>
    </row>
    <row r="2335" spans="1:10" ht="15.75" x14ac:dyDescent="0.5">
      <c r="A2335" s="13" t="s">
        <v>360</v>
      </c>
      <c r="B2335" s="13" t="s">
        <v>399</v>
      </c>
      <c r="C2335" s="13" t="s">
        <v>400</v>
      </c>
      <c r="D2335" s="14">
        <v>7.2499064625597889</v>
      </c>
      <c r="E2335" s="14">
        <v>0.20898189426953684</v>
      </c>
      <c r="F2335" s="14">
        <v>0.51246000000000125</v>
      </c>
      <c r="G2335" s="14">
        <v>3.2400000000000007E-3</v>
      </c>
      <c r="H2335" s="14" t="s">
        <v>250</v>
      </c>
      <c r="I2335" s="14" t="s">
        <v>250</v>
      </c>
      <c r="J2335" s="14">
        <v>7.8506277372262876E-3</v>
      </c>
    </row>
    <row r="2336" spans="1:10" ht="15.75" x14ac:dyDescent="0.5">
      <c r="A2336" s="13" t="s">
        <v>360</v>
      </c>
      <c r="B2336" s="13" t="s">
        <v>401</v>
      </c>
      <c r="C2336" s="13" t="s">
        <v>400</v>
      </c>
      <c r="D2336" s="14" t="s">
        <v>250</v>
      </c>
      <c r="E2336" s="14" t="s">
        <v>250</v>
      </c>
      <c r="F2336" s="14">
        <v>90.743530549502253</v>
      </c>
      <c r="G2336" s="14">
        <v>90.743530549502239</v>
      </c>
      <c r="H2336" s="14">
        <v>6.4810397039368599</v>
      </c>
      <c r="I2336" s="14" t="s">
        <v>250</v>
      </c>
      <c r="J2336" s="14" t="s">
        <v>250</v>
      </c>
    </row>
    <row r="2337" spans="1:10" ht="15.75" x14ac:dyDescent="0.5">
      <c r="A2337" s="13" t="s">
        <v>360</v>
      </c>
      <c r="B2337" s="13" t="s">
        <v>402</v>
      </c>
      <c r="C2337" s="13" t="s">
        <v>400</v>
      </c>
      <c r="D2337" s="14">
        <v>1072.9916742877472</v>
      </c>
      <c r="E2337" s="14">
        <v>272.17331798807732</v>
      </c>
      <c r="F2337" s="14">
        <v>150.13997968714156</v>
      </c>
      <c r="G2337" s="14">
        <v>159.11877561339418</v>
      </c>
      <c r="H2337" s="14">
        <v>104.97784309847754</v>
      </c>
      <c r="I2337" s="14">
        <v>40.811528504401615</v>
      </c>
      <c r="J2337" s="14">
        <v>37.747868247326835</v>
      </c>
    </row>
    <row r="2338" spans="1:10" ht="15.75" x14ac:dyDescent="0.5">
      <c r="A2338" s="13" t="s">
        <v>360</v>
      </c>
      <c r="B2338" s="13" t="s">
        <v>403</v>
      </c>
      <c r="C2338" s="13" t="s">
        <v>400</v>
      </c>
      <c r="D2338" s="14" t="s">
        <v>250</v>
      </c>
      <c r="E2338" s="14" t="s">
        <v>250</v>
      </c>
      <c r="F2338" s="14">
        <v>60.495678708729422</v>
      </c>
      <c r="G2338" s="14">
        <v>60.495678708729443</v>
      </c>
      <c r="H2338" s="14">
        <v>12.278004550207299</v>
      </c>
      <c r="I2338" s="14">
        <v>10.307983843113481</v>
      </c>
      <c r="J2338" s="14" t="s">
        <v>250</v>
      </c>
    </row>
    <row r="2339" spans="1:10" ht="15.75" x14ac:dyDescent="0.5">
      <c r="A2339" s="13" t="s">
        <v>360</v>
      </c>
      <c r="B2339" s="13" t="s">
        <v>405</v>
      </c>
      <c r="C2339" s="13" t="s">
        <v>400</v>
      </c>
      <c r="D2339" s="14">
        <v>1259.3891290889937</v>
      </c>
      <c r="E2339" s="14">
        <v>1460.6556027412323</v>
      </c>
      <c r="F2339" s="14">
        <v>1607.0702300048627</v>
      </c>
      <c r="G2339" s="14">
        <v>1800.1056356243714</v>
      </c>
      <c r="H2339" s="14">
        <v>1503.2435567550672</v>
      </c>
      <c r="I2339" s="14">
        <v>1120.7292380563158</v>
      </c>
      <c r="J2339" s="14">
        <v>1148.113539705344</v>
      </c>
    </row>
    <row r="2340" spans="1:10" ht="15.75" x14ac:dyDescent="0.5">
      <c r="A2340" s="13" t="s">
        <v>360</v>
      </c>
      <c r="B2340" s="13" t="s">
        <v>406</v>
      </c>
      <c r="C2340" s="13" t="s">
        <v>400</v>
      </c>
      <c r="D2340" s="14">
        <v>23.479196814299332</v>
      </c>
      <c r="E2340" s="14">
        <v>31.479670354038447</v>
      </c>
      <c r="F2340" s="14">
        <v>41.75018109603851</v>
      </c>
      <c r="G2340" s="14">
        <v>41.975281030113365</v>
      </c>
      <c r="H2340" s="14">
        <v>38.701109996580058</v>
      </c>
      <c r="I2340" s="14">
        <v>34.45221746129166</v>
      </c>
      <c r="J2340" s="14">
        <v>32.244660528480949</v>
      </c>
    </row>
    <row r="2341" spans="1:10" ht="15.75" x14ac:dyDescent="0.5">
      <c r="A2341" s="13" t="s">
        <v>360</v>
      </c>
      <c r="B2341" s="13" t="s">
        <v>407</v>
      </c>
      <c r="C2341" s="13" t="s">
        <v>400</v>
      </c>
      <c r="D2341" s="14" t="s">
        <v>250</v>
      </c>
      <c r="E2341" s="14">
        <v>119.93555406027791</v>
      </c>
      <c r="F2341" s="14">
        <v>51.535530455641791</v>
      </c>
      <c r="G2341" s="14">
        <v>85.208242140487712</v>
      </c>
      <c r="H2341" s="14" t="s">
        <v>250</v>
      </c>
      <c r="I2341" s="14" t="s">
        <v>250</v>
      </c>
      <c r="J2341" s="14" t="s">
        <v>250</v>
      </c>
    </row>
    <row r="2342" spans="1:10" ht="15.75" x14ac:dyDescent="0.5">
      <c r="A2342" s="13" t="s">
        <v>360</v>
      </c>
      <c r="B2342" s="13" t="s">
        <v>408</v>
      </c>
      <c r="C2342" s="13" t="s">
        <v>400</v>
      </c>
      <c r="D2342" s="14">
        <v>46.892290321001227</v>
      </c>
      <c r="E2342" s="14">
        <v>29.668125236071717</v>
      </c>
      <c r="F2342" s="14">
        <v>22.259490679316436</v>
      </c>
      <c r="G2342" s="14">
        <v>28.266023964389294</v>
      </c>
      <c r="H2342" s="14">
        <v>26.99233730456459</v>
      </c>
      <c r="I2342" s="14">
        <v>22.863064668581945</v>
      </c>
      <c r="J2342" s="14">
        <v>19.932518831462531</v>
      </c>
    </row>
    <row r="2343" spans="1:10" ht="15.75" x14ac:dyDescent="0.5">
      <c r="A2343" s="13" t="s">
        <v>360</v>
      </c>
      <c r="B2343" s="13" t="s">
        <v>409</v>
      </c>
      <c r="C2343" s="13" t="s">
        <v>400</v>
      </c>
      <c r="D2343" s="14">
        <v>18.365704270000037</v>
      </c>
      <c r="E2343" s="14">
        <v>18.36570427000003</v>
      </c>
      <c r="F2343" s="14">
        <v>18.365704270000034</v>
      </c>
      <c r="G2343" s="14">
        <v>18.36570427000003</v>
      </c>
      <c r="H2343" s="14">
        <v>18.365704270000034</v>
      </c>
      <c r="I2343" s="14">
        <v>18.365704270000041</v>
      </c>
      <c r="J2343" s="14">
        <v>17.674442068306604</v>
      </c>
    </row>
    <row r="2344" spans="1:10" ht="15.75" x14ac:dyDescent="0.5">
      <c r="A2344" s="13" t="s">
        <v>360</v>
      </c>
      <c r="B2344" s="13" t="s">
        <v>410</v>
      </c>
      <c r="C2344" s="13" t="s">
        <v>400</v>
      </c>
      <c r="D2344" s="14">
        <v>245.79356253202224</v>
      </c>
      <c r="E2344" s="14">
        <v>244.6290225561257</v>
      </c>
      <c r="F2344" s="14">
        <v>245.7216564325156</v>
      </c>
      <c r="G2344" s="14">
        <v>246.16997594139093</v>
      </c>
      <c r="H2344" s="14">
        <v>246.10421681730327</v>
      </c>
      <c r="I2344" s="14">
        <v>246.00035470022314</v>
      </c>
      <c r="J2344" s="14">
        <v>246.1589204500041</v>
      </c>
    </row>
    <row r="2345" spans="1:10" ht="15.75" x14ac:dyDescent="0.5">
      <c r="A2345" s="13" t="s">
        <v>360</v>
      </c>
      <c r="B2345" s="13" t="s">
        <v>411</v>
      </c>
      <c r="C2345" s="13" t="s">
        <v>400</v>
      </c>
      <c r="D2345" s="14">
        <v>7.1394000000000162</v>
      </c>
      <c r="E2345" s="14">
        <v>3.559348905109498</v>
      </c>
      <c r="F2345" s="14" t="s">
        <v>250</v>
      </c>
      <c r="G2345" s="14" t="s">
        <v>250</v>
      </c>
      <c r="H2345" s="14" t="s">
        <v>250</v>
      </c>
      <c r="I2345" s="14" t="s">
        <v>250</v>
      </c>
      <c r="J2345" s="14" t="s">
        <v>250</v>
      </c>
    </row>
    <row r="2346" spans="1:10" ht="15.75" x14ac:dyDescent="0.5">
      <c r="A2346" s="13" t="s">
        <v>360</v>
      </c>
      <c r="B2346" s="13" t="s">
        <v>412</v>
      </c>
      <c r="C2346" s="13" t="s">
        <v>400</v>
      </c>
      <c r="D2346" s="14">
        <v>760.72545968400163</v>
      </c>
      <c r="E2346" s="14">
        <v>743.87881491117912</v>
      </c>
      <c r="F2346" s="14">
        <v>509.55372393902968</v>
      </c>
      <c r="G2346" s="14">
        <v>557.74111642397975</v>
      </c>
      <c r="H2346" s="14">
        <v>54.24471342391422</v>
      </c>
      <c r="I2346" s="14" t="s">
        <v>250</v>
      </c>
      <c r="J2346" s="14" t="s">
        <v>250</v>
      </c>
    </row>
    <row r="2347" spans="1:10" ht="15.75" x14ac:dyDescent="0.5">
      <c r="A2347" s="13" t="s">
        <v>360</v>
      </c>
      <c r="B2347" s="13" t="s">
        <v>413</v>
      </c>
      <c r="C2347" s="13" t="s">
        <v>400</v>
      </c>
      <c r="D2347" s="14">
        <v>23.70292761988614</v>
      </c>
      <c r="E2347" s="14">
        <v>26.214546508665087</v>
      </c>
      <c r="F2347" s="14">
        <v>10.708202733326505</v>
      </c>
      <c r="G2347" s="14">
        <v>6.9793587445475715</v>
      </c>
      <c r="H2347" s="14">
        <v>2.3225143301323965</v>
      </c>
      <c r="I2347" s="14">
        <v>3.8267368791736285</v>
      </c>
      <c r="J2347" s="14">
        <v>4.1778695451827215</v>
      </c>
    </row>
    <row r="2348" spans="1:10" ht="15.75" x14ac:dyDescent="0.5">
      <c r="A2348" s="13" t="s">
        <v>360</v>
      </c>
      <c r="B2348" s="13" t="s">
        <v>414</v>
      </c>
      <c r="C2348" s="13" t="s">
        <v>400</v>
      </c>
      <c r="D2348" s="14">
        <v>0.6803907705109502</v>
      </c>
      <c r="E2348" s="14">
        <v>24.434347310897387</v>
      </c>
      <c r="F2348" s="14">
        <v>100.51338569650724</v>
      </c>
      <c r="G2348" s="14">
        <v>206.73090748365553</v>
      </c>
      <c r="H2348" s="14">
        <v>253.14995856679579</v>
      </c>
      <c r="I2348" s="14">
        <v>254.66876339142502</v>
      </c>
      <c r="J2348" s="14">
        <v>255.84481304591137</v>
      </c>
    </row>
    <row r="2349" spans="1:10" ht="15.75" x14ac:dyDescent="0.5">
      <c r="A2349" s="13" t="s">
        <v>360</v>
      </c>
      <c r="B2349" s="13" t="s">
        <v>415</v>
      </c>
      <c r="C2349" s="13" t="s">
        <v>400</v>
      </c>
      <c r="D2349" s="14">
        <v>440.53124483255544</v>
      </c>
      <c r="E2349" s="14">
        <v>873.81161801124631</v>
      </c>
      <c r="F2349" s="14">
        <v>1354.084620816948</v>
      </c>
      <c r="G2349" s="14">
        <v>1409.8903478643992</v>
      </c>
      <c r="H2349" s="14">
        <v>2126.7924770026771</v>
      </c>
      <c r="I2349" s="14">
        <v>3348.0881834162537</v>
      </c>
      <c r="J2349" s="14">
        <v>3383.2174874501034</v>
      </c>
    </row>
    <row r="2350" spans="1:10" ht="15.75" x14ac:dyDescent="0.5">
      <c r="A2350" s="13" t="s">
        <v>360</v>
      </c>
      <c r="B2350" s="13" t="s">
        <v>416</v>
      </c>
      <c r="C2350" s="13" t="s">
        <v>400</v>
      </c>
      <c r="D2350" s="14" t="s">
        <v>250</v>
      </c>
      <c r="E2350" s="14">
        <v>70.934498682900724</v>
      </c>
      <c r="F2350" s="14">
        <v>100.19546122793703</v>
      </c>
      <c r="G2350" s="14">
        <v>127.69344447727376</v>
      </c>
      <c r="H2350" s="14">
        <v>145.88323771792338</v>
      </c>
      <c r="I2350" s="14">
        <v>165.7790673137323</v>
      </c>
      <c r="J2350" s="14">
        <v>186.2865730549081</v>
      </c>
    </row>
    <row r="2351" spans="1:10" ht="15.75" x14ac:dyDescent="0.5">
      <c r="A2351" s="13" t="s">
        <v>360</v>
      </c>
      <c r="B2351" s="13" t="s">
        <v>417</v>
      </c>
      <c r="C2351" s="13" t="s">
        <v>400</v>
      </c>
      <c r="D2351" s="14">
        <v>187.48709633408691</v>
      </c>
      <c r="E2351" s="14">
        <v>298.36286233429854</v>
      </c>
      <c r="F2351" s="14">
        <v>339.94935565504693</v>
      </c>
      <c r="G2351" s="14">
        <v>935.77766998280924</v>
      </c>
      <c r="H2351" s="14">
        <v>2771.7782627234724</v>
      </c>
      <c r="I2351" s="14">
        <v>3864.752305302864</v>
      </c>
      <c r="J2351" s="14">
        <v>3938.3410075556003</v>
      </c>
    </row>
    <row r="2352" spans="1:10" ht="15.75" x14ac:dyDescent="0.5">
      <c r="A2352" s="13" t="s">
        <v>360</v>
      </c>
      <c r="B2352" s="13" t="s">
        <v>418</v>
      </c>
      <c r="C2352" s="13" t="s">
        <v>400</v>
      </c>
      <c r="D2352" s="14">
        <v>3.184175173101953</v>
      </c>
      <c r="E2352" s="14">
        <v>3.1841751731019534</v>
      </c>
      <c r="F2352" s="14">
        <v>3.1841751731019534</v>
      </c>
      <c r="G2352" s="14">
        <v>3.1841751731019539</v>
      </c>
      <c r="H2352" s="14">
        <v>3.184175173101953</v>
      </c>
      <c r="I2352" s="14">
        <v>3.184175173101953</v>
      </c>
      <c r="J2352" s="14">
        <v>3.1841751731019534</v>
      </c>
    </row>
    <row r="2353" spans="1:10" ht="15.75" x14ac:dyDescent="0.5">
      <c r="A2353" s="13" t="s">
        <v>360</v>
      </c>
      <c r="B2353" s="13" t="s">
        <v>419</v>
      </c>
      <c r="C2353" s="13" t="s">
        <v>400</v>
      </c>
      <c r="D2353" s="14">
        <v>0.54465920264079504</v>
      </c>
      <c r="E2353" s="14">
        <v>8.6254933045584892</v>
      </c>
      <c r="F2353" s="14">
        <v>58.513552167741715</v>
      </c>
      <c r="G2353" s="14">
        <v>158.09164657721354</v>
      </c>
      <c r="H2353" s="14">
        <v>964.80342715413633</v>
      </c>
      <c r="I2353" s="14">
        <v>1858.3755075510967</v>
      </c>
      <c r="J2353" s="14">
        <v>2021.2903945595233</v>
      </c>
    </row>
    <row r="2354" spans="1:10" ht="15.75" x14ac:dyDescent="0.5">
      <c r="A2354" s="13" t="s">
        <v>360</v>
      </c>
      <c r="B2354" s="13" t="s">
        <v>420</v>
      </c>
      <c r="C2354" s="13" t="s">
        <v>400</v>
      </c>
      <c r="D2354" s="14">
        <v>-13.987252957808376</v>
      </c>
      <c r="E2354" s="14">
        <v>-13.463246529154761</v>
      </c>
      <c r="F2354" s="14">
        <v>-12.274568749959602</v>
      </c>
      <c r="G2354" s="14">
        <v>-11.513000673689632</v>
      </c>
      <c r="H2354" s="14">
        <v>-12.976279103232441</v>
      </c>
      <c r="I2354" s="14">
        <v>-16.090418111623013</v>
      </c>
      <c r="J2354" s="14">
        <v>-20.251948407686243</v>
      </c>
    </row>
    <row r="2355" spans="1:10" ht="15.75" x14ac:dyDescent="0.5">
      <c r="A2355" s="13" t="s">
        <v>361</v>
      </c>
      <c r="B2355" s="13" t="s">
        <v>399</v>
      </c>
      <c r="C2355" s="13" t="s">
        <v>400</v>
      </c>
      <c r="D2355" s="14">
        <v>7.2499064625597889</v>
      </c>
      <c r="E2355" s="14">
        <v>0.20898189426954122</v>
      </c>
      <c r="F2355" s="14">
        <v>0.51246000000000103</v>
      </c>
      <c r="G2355" s="14">
        <v>3.2400000000000007E-3</v>
      </c>
      <c r="H2355" s="14" t="s">
        <v>250</v>
      </c>
      <c r="I2355" s="14" t="s">
        <v>250</v>
      </c>
      <c r="J2355" s="14">
        <v>7.8506277372262876E-3</v>
      </c>
    </row>
    <row r="2356" spans="1:10" ht="15.75" x14ac:dyDescent="0.5">
      <c r="A2356" s="13" t="s">
        <v>361</v>
      </c>
      <c r="B2356" s="13" t="s">
        <v>401</v>
      </c>
      <c r="C2356" s="13" t="s">
        <v>400</v>
      </c>
      <c r="D2356" s="14" t="s">
        <v>250</v>
      </c>
      <c r="E2356" s="14" t="s">
        <v>250</v>
      </c>
      <c r="F2356" s="14">
        <v>90.743530549504158</v>
      </c>
      <c r="G2356" s="14">
        <v>90.743530549504186</v>
      </c>
      <c r="H2356" s="14">
        <v>6.4810395532738863</v>
      </c>
      <c r="I2356" s="14" t="s">
        <v>250</v>
      </c>
      <c r="J2356" s="14" t="s">
        <v>250</v>
      </c>
    </row>
    <row r="2357" spans="1:10" ht="15.75" x14ac:dyDescent="0.5">
      <c r="A2357" s="13" t="s">
        <v>361</v>
      </c>
      <c r="B2357" s="13" t="s">
        <v>402</v>
      </c>
      <c r="C2357" s="13" t="s">
        <v>400</v>
      </c>
      <c r="D2357" s="14">
        <v>1072.9916742877465</v>
      </c>
      <c r="E2357" s="14">
        <v>272.17331802005623</v>
      </c>
      <c r="F2357" s="14">
        <v>150.13997971630258</v>
      </c>
      <c r="G2357" s="14">
        <v>159.11878440839757</v>
      </c>
      <c r="H2357" s="14">
        <v>104.97784383362637</v>
      </c>
      <c r="I2357" s="14">
        <v>40.811528258817631</v>
      </c>
      <c r="J2357" s="14">
        <v>37.747868374662673</v>
      </c>
    </row>
    <row r="2358" spans="1:10" ht="15.75" x14ac:dyDescent="0.5">
      <c r="A2358" s="13" t="s">
        <v>361</v>
      </c>
      <c r="B2358" s="13" t="s">
        <v>403</v>
      </c>
      <c r="C2358" s="13" t="s">
        <v>400</v>
      </c>
      <c r="D2358" s="14" t="s">
        <v>250</v>
      </c>
      <c r="E2358" s="14" t="s">
        <v>250</v>
      </c>
      <c r="F2358" s="14">
        <v>60.495679076235781</v>
      </c>
      <c r="G2358" s="14">
        <v>60.495679076235803</v>
      </c>
      <c r="H2358" s="14">
        <v>12.278004623905092</v>
      </c>
      <c r="I2358" s="14">
        <v>10.307983550225607</v>
      </c>
      <c r="J2358" s="14" t="s">
        <v>250</v>
      </c>
    </row>
    <row r="2359" spans="1:10" ht="15.75" x14ac:dyDescent="0.5">
      <c r="A2359" s="13" t="s">
        <v>361</v>
      </c>
      <c r="B2359" s="13" t="s">
        <v>405</v>
      </c>
      <c r="C2359" s="13" t="s">
        <v>400</v>
      </c>
      <c r="D2359" s="14">
        <v>1259.3891290889949</v>
      </c>
      <c r="E2359" s="14">
        <v>1460.655602932768</v>
      </c>
      <c r="F2359" s="14">
        <v>1607.0702290096672</v>
      </c>
      <c r="G2359" s="14">
        <v>1800.1056341756232</v>
      </c>
      <c r="H2359" s="14">
        <v>1503.2435565469532</v>
      </c>
      <c r="I2359" s="14">
        <v>1120.7292371554404</v>
      </c>
      <c r="J2359" s="14">
        <v>1148.1135365782814</v>
      </c>
    </row>
    <row r="2360" spans="1:10" ht="15.75" x14ac:dyDescent="0.5">
      <c r="A2360" s="13" t="s">
        <v>361</v>
      </c>
      <c r="B2360" s="13" t="s">
        <v>406</v>
      </c>
      <c r="C2360" s="13" t="s">
        <v>400</v>
      </c>
      <c r="D2360" s="14">
        <v>23.479196814299335</v>
      </c>
      <c r="E2360" s="14">
        <v>31.479670392647996</v>
      </c>
      <c r="F2360" s="14">
        <v>41.750181169192864</v>
      </c>
      <c r="G2360" s="14">
        <v>41.975281099698023</v>
      </c>
      <c r="H2360" s="14">
        <v>38.701109773607854</v>
      </c>
      <c r="I2360" s="14">
        <v>34.452217483463336</v>
      </c>
      <c r="J2360" s="14">
        <v>32.244660622229631</v>
      </c>
    </row>
    <row r="2361" spans="1:10" ht="15.75" x14ac:dyDescent="0.5">
      <c r="A2361" s="13" t="s">
        <v>361</v>
      </c>
      <c r="B2361" s="13" t="s">
        <v>407</v>
      </c>
      <c r="C2361" s="13" t="s">
        <v>400</v>
      </c>
      <c r="D2361" s="14" t="s">
        <v>250</v>
      </c>
      <c r="E2361" s="14">
        <v>119.93555385106941</v>
      </c>
      <c r="F2361" s="14">
        <v>51.535530455641805</v>
      </c>
      <c r="G2361" s="14">
        <v>85.208241487683395</v>
      </c>
      <c r="H2361" s="14" t="s">
        <v>250</v>
      </c>
      <c r="I2361" s="14" t="s">
        <v>250</v>
      </c>
      <c r="J2361" s="14" t="s">
        <v>250</v>
      </c>
    </row>
    <row r="2362" spans="1:10" ht="15.75" x14ac:dyDescent="0.5">
      <c r="A2362" s="13" t="s">
        <v>361</v>
      </c>
      <c r="B2362" s="13" t="s">
        <v>408</v>
      </c>
      <c r="C2362" s="13" t="s">
        <v>400</v>
      </c>
      <c r="D2362" s="14">
        <v>46.892290321001227</v>
      </c>
      <c r="E2362" s="14">
        <v>29.668125274997607</v>
      </c>
      <c r="F2362" s="14">
        <v>22.259490701205763</v>
      </c>
      <c r="G2362" s="14">
        <v>28.26602396409486</v>
      </c>
      <c r="H2362" s="14">
        <v>26.992337265027114</v>
      </c>
      <c r="I2362" s="14">
        <v>22.863064845125344</v>
      </c>
      <c r="J2362" s="14">
        <v>19.93251935023947</v>
      </c>
    </row>
    <row r="2363" spans="1:10" ht="15.75" x14ac:dyDescent="0.5">
      <c r="A2363" s="13" t="s">
        <v>361</v>
      </c>
      <c r="B2363" s="13" t="s">
        <v>409</v>
      </c>
      <c r="C2363" s="13" t="s">
        <v>400</v>
      </c>
      <c r="D2363" s="14">
        <v>18.365704270000037</v>
      </c>
      <c r="E2363" s="14">
        <v>18.36570427000003</v>
      </c>
      <c r="F2363" s="14">
        <v>18.36570427000003</v>
      </c>
      <c r="G2363" s="14">
        <v>18.36570427000003</v>
      </c>
      <c r="H2363" s="14">
        <v>18.36570427000003</v>
      </c>
      <c r="I2363" s="14">
        <v>18.365704270000037</v>
      </c>
      <c r="J2363" s="14">
        <v>17.674442068306604</v>
      </c>
    </row>
    <row r="2364" spans="1:10" ht="15.75" x14ac:dyDescent="0.5">
      <c r="A2364" s="13" t="s">
        <v>361</v>
      </c>
      <c r="B2364" s="13" t="s">
        <v>410</v>
      </c>
      <c r="C2364" s="13" t="s">
        <v>400</v>
      </c>
      <c r="D2364" s="14">
        <v>245.79356253202221</v>
      </c>
      <c r="E2364" s="14">
        <v>244.6290225561257</v>
      </c>
      <c r="F2364" s="14">
        <v>245.7216564335659</v>
      </c>
      <c r="G2364" s="14">
        <v>246.16997594139093</v>
      </c>
      <c r="H2364" s="14">
        <v>246.1042168173033</v>
      </c>
      <c r="I2364" s="14">
        <v>246.00035470022303</v>
      </c>
      <c r="J2364" s="14">
        <v>246.15892045000416</v>
      </c>
    </row>
    <row r="2365" spans="1:10" ht="15.75" x14ac:dyDescent="0.5">
      <c r="A2365" s="13" t="s">
        <v>361</v>
      </c>
      <c r="B2365" s="13" t="s">
        <v>411</v>
      </c>
      <c r="C2365" s="13" t="s">
        <v>400</v>
      </c>
      <c r="D2365" s="14">
        <v>7.1394000000000171</v>
      </c>
      <c r="E2365" s="14">
        <v>3.5593489051094975</v>
      </c>
      <c r="F2365" s="14" t="s">
        <v>250</v>
      </c>
      <c r="G2365" s="14" t="s">
        <v>250</v>
      </c>
      <c r="H2365" s="14" t="s">
        <v>250</v>
      </c>
      <c r="I2365" s="14" t="s">
        <v>250</v>
      </c>
      <c r="J2365" s="14" t="s">
        <v>250</v>
      </c>
    </row>
    <row r="2366" spans="1:10" ht="15.75" x14ac:dyDescent="0.5">
      <c r="A2366" s="13" t="s">
        <v>361</v>
      </c>
      <c r="B2366" s="13" t="s">
        <v>412</v>
      </c>
      <c r="C2366" s="13" t="s">
        <v>400</v>
      </c>
      <c r="D2366" s="14">
        <v>760.72545968400186</v>
      </c>
      <c r="E2366" s="14">
        <v>743.87881490147902</v>
      </c>
      <c r="F2366" s="14">
        <v>509.55372475623204</v>
      </c>
      <c r="G2366" s="14">
        <v>557.74111752859801</v>
      </c>
      <c r="H2366" s="14">
        <v>54.244711283227602</v>
      </c>
      <c r="I2366" s="14" t="s">
        <v>250</v>
      </c>
      <c r="J2366" s="14" t="s">
        <v>250</v>
      </c>
    </row>
    <row r="2367" spans="1:10" ht="15.75" x14ac:dyDescent="0.5">
      <c r="A2367" s="13" t="s">
        <v>361</v>
      </c>
      <c r="B2367" s="13" t="s">
        <v>413</v>
      </c>
      <c r="C2367" s="13" t="s">
        <v>400</v>
      </c>
      <c r="D2367" s="14">
        <v>23.70292761988614</v>
      </c>
      <c r="E2367" s="14">
        <v>26.214546500532904</v>
      </c>
      <c r="F2367" s="14">
        <v>10.70820274560894</v>
      </c>
      <c r="G2367" s="14">
        <v>6.9793591275035523</v>
      </c>
      <c r="H2367" s="14">
        <v>2.3225148723465807</v>
      </c>
      <c r="I2367" s="14">
        <v>3.8267371164755843</v>
      </c>
      <c r="J2367" s="14">
        <v>4.1778695726231847</v>
      </c>
    </row>
    <row r="2368" spans="1:10" ht="15.75" x14ac:dyDescent="0.5">
      <c r="A2368" s="13" t="s">
        <v>361</v>
      </c>
      <c r="B2368" s="13" t="s">
        <v>414</v>
      </c>
      <c r="C2368" s="13" t="s">
        <v>400</v>
      </c>
      <c r="D2368" s="14">
        <v>0.6803907705109502</v>
      </c>
      <c r="E2368" s="14">
        <v>24.434347265471708</v>
      </c>
      <c r="F2368" s="14">
        <v>100.51338549474694</v>
      </c>
      <c r="G2368" s="14">
        <v>206.73090727765347</v>
      </c>
      <c r="H2368" s="14">
        <v>253.14995835894777</v>
      </c>
      <c r="I2368" s="14">
        <v>254.66876318220224</v>
      </c>
      <c r="J2368" s="14">
        <v>255.8448128356282</v>
      </c>
    </row>
    <row r="2369" spans="1:10" ht="15.75" x14ac:dyDescent="0.5">
      <c r="A2369" s="13" t="s">
        <v>361</v>
      </c>
      <c r="B2369" s="13" t="s">
        <v>415</v>
      </c>
      <c r="C2369" s="13" t="s">
        <v>400</v>
      </c>
      <c r="D2369" s="14">
        <v>440.53124483255561</v>
      </c>
      <c r="E2369" s="14">
        <v>873.81161801124654</v>
      </c>
      <c r="F2369" s="14">
        <v>1354.0846205722787</v>
      </c>
      <c r="G2369" s="14">
        <v>1409.8903478821951</v>
      </c>
      <c r="H2369" s="14">
        <v>2126.7924774595167</v>
      </c>
      <c r="I2369" s="14">
        <v>3348.0881861499502</v>
      </c>
      <c r="J2369" s="14">
        <v>3383.2174952380287</v>
      </c>
    </row>
    <row r="2370" spans="1:10" ht="15.75" x14ac:dyDescent="0.5">
      <c r="A2370" s="13" t="s">
        <v>361</v>
      </c>
      <c r="B2370" s="13" t="s">
        <v>416</v>
      </c>
      <c r="C2370" s="13" t="s">
        <v>400</v>
      </c>
      <c r="D2370" s="14" t="s">
        <v>250</v>
      </c>
      <c r="E2370" s="14">
        <v>70.934498682900752</v>
      </c>
      <c r="F2370" s="14">
        <v>100.19546122793699</v>
      </c>
      <c r="G2370" s="14">
        <v>127.69344447727379</v>
      </c>
      <c r="H2370" s="14">
        <v>145.88323771792341</v>
      </c>
      <c r="I2370" s="14">
        <v>165.77906731373221</v>
      </c>
      <c r="J2370" s="14">
        <v>186.28657305490813</v>
      </c>
    </row>
    <row r="2371" spans="1:10" ht="15.75" x14ac:dyDescent="0.5">
      <c r="A2371" s="13" t="s">
        <v>361</v>
      </c>
      <c r="B2371" s="13" t="s">
        <v>417</v>
      </c>
      <c r="C2371" s="13" t="s">
        <v>400</v>
      </c>
      <c r="D2371" s="14">
        <v>187.48709633408689</v>
      </c>
      <c r="E2371" s="14">
        <v>298.36286233429848</v>
      </c>
      <c r="F2371" s="14">
        <v>339.94935565504693</v>
      </c>
      <c r="G2371" s="14">
        <v>935.77766139610185</v>
      </c>
      <c r="H2371" s="14">
        <v>2771.7782612997498</v>
      </c>
      <c r="I2371" s="14">
        <v>3864.7523072224299</v>
      </c>
      <c r="J2371" s="14">
        <v>3938.3410096128764</v>
      </c>
    </row>
    <row r="2372" spans="1:10" ht="15.75" x14ac:dyDescent="0.5">
      <c r="A2372" s="13" t="s">
        <v>361</v>
      </c>
      <c r="B2372" s="13" t="s">
        <v>418</v>
      </c>
      <c r="C2372" s="13" t="s">
        <v>400</v>
      </c>
      <c r="D2372" s="14">
        <v>3.1841751731019539</v>
      </c>
      <c r="E2372" s="14">
        <v>3.1841751731019539</v>
      </c>
      <c r="F2372" s="14">
        <v>3.184175173101953</v>
      </c>
      <c r="G2372" s="14">
        <v>3.1841751731019534</v>
      </c>
      <c r="H2372" s="14">
        <v>3.1841751731019539</v>
      </c>
      <c r="I2372" s="14">
        <v>3.1841751731019539</v>
      </c>
      <c r="J2372" s="14">
        <v>3.1841751731019525</v>
      </c>
    </row>
    <row r="2373" spans="1:10" ht="15.75" x14ac:dyDescent="0.5">
      <c r="A2373" s="13" t="s">
        <v>361</v>
      </c>
      <c r="B2373" s="13" t="s">
        <v>419</v>
      </c>
      <c r="C2373" s="13" t="s">
        <v>400</v>
      </c>
      <c r="D2373" s="14">
        <v>0.54465920264079482</v>
      </c>
      <c r="E2373" s="14">
        <v>8.6254933471630508</v>
      </c>
      <c r="F2373" s="14">
        <v>58.513552155448117</v>
      </c>
      <c r="G2373" s="14">
        <v>158.09008540508484</v>
      </c>
      <c r="H2373" s="14">
        <v>964.80343021782267</v>
      </c>
      <c r="I2373" s="14">
        <v>1858.3737730223402</v>
      </c>
      <c r="J2373" s="14">
        <v>2021.2904039813857</v>
      </c>
    </row>
    <row r="2374" spans="1:10" ht="15.75" x14ac:dyDescent="0.5">
      <c r="A2374" s="13" t="s">
        <v>361</v>
      </c>
      <c r="B2374" s="13" t="s">
        <v>420</v>
      </c>
      <c r="C2374" s="13" t="s">
        <v>400</v>
      </c>
      <c r="D2374" s="14">
        <v>-13.987252957808344</v>
      </c>
      <c r="E2374" s="14">
        <v>-13.463246533325755</v>
      </c>
      <c r="F2374" s="14">
        <v>-12.276034396446502</v>
      </c>
      <c r="G2374" s="14">
        <v>-11.513001138208946</v>
      </c>
      <c r="H2374" s="14">
        <v>-12.976262186279561</v>
      </c>
      <c r="I2374" s="14">
        <v>-16.091834717412176</v>
      </c>
      <c r="J2374" s="14">
        <v>-20.252339410718729</v>
      </c>
    </row>
    <row r="2375" spans="1:10" ht="15.75" x14ac:dyDescent="0.5">
      <c r="A2375" s="13" t="s">
        <v>362</v>
      </c>
      <c r="B2375" s="13" t="s">
        <v>399</v>
      </c>
      <c r="C2375" s="13" t="s">
        <v>400</v>
      </c>
      <c r="D2375" s="14">
        <v>7.2499064625597889</v>
      </c>
      <c r="E2375" s="14">
        <v>0.20898189426955271</v>
      </c>
      <c r="F2375" s="14">
        <v>0.51246000000000103</v>
      </c>
      <c r="G2375" s="14">
        <v>3.2400000000000007E-3</v>
      </c>
      <c r="H2375" s="14" t="s">
        <v>250</v>
      </c>
      <c r="I2375" s="14" t="s">
        <v>250</v>
      </c>
      <c r="J2375" s="14">
        <v>7.8506277372262876E-3</v>
      </c>
    </row>
    <row r="2376" spans="1:10" ht="15.75" x14ac:dyDescent="0.5">
      <c r="A2376" s="13" t="s">
        <v>362</v>
      </c>
      <c r="B2376" s="13" t="s">
        <v>401</v>
      </c>
      <c r="C2376" s="13" t="s">
        <v>400</v>
      </c>
      <c r="D2376" s="14" t="s">
        <v>250</v>
      </c>
      <c r="E2376" s="14" t="s">
        <v>250</v>
      </c>
      <c r="F2376" s="14">
        <v>90.743530549491581</v>
      </c>
      <c r="G2376" s="14">
        <v>90.743530549491609</v>
      </c>
      <c r="H2376" s="14">
        <v>6.4810396895205722</v>
      </c>
      <c r="I2376" s="14" t="s">
        <v>250</v>
      </c>
      <c r="J2376" s="14" t="s">
        <v>250</v>
      </c>
    </row>
    <row r="2377" spans="1:10" ht="15.75" x14ac:dyDescent="0.5">
      <c r="A2377" s="13" t="s">
        <v>362</v>
      </c>
      <c r="B2377" s="13" t="s">
        <v>402</v>
      </c>
      <c r="C2377" s="13" t="s">
        <v>400</v>
      </c>
      <c r="D2377" s="14">
        <v>1072.9916742877463</v>
      </c>
      <c r="E2377" s="14">
        <v>272.17331756787326</v>
      </c>
      <c r="F2377" s="14">
        <v>150.13997996580693</v>
      </c>
      <c r="G2377" s="14">
        <v>159.11879281761338</v>
      </c>
      <c r="H2377" s="14">
        <v>104.97784498313085</v>
      </c>
      <c r="I2377" s="14">
        <v>40.811527103881353</v>
      </c>
      <c r="J2377" s="14">
        <v>37.747866423178657</v>
      </c>
    </row>
    <row r="2378" spans="1:10" ht="15.75" x14ac:dyDescent="0.5">
      <c r="A2378" s="13" t="s">
        <v>362</v>
      </c>
      <c r="B2378" s="13" t="s">
        <v>403</v>
      </c>
      <c r="C2378" s="13" t="s">
        <v>400</v>
      </c>
      <c r="D2378" s="14" t="s">
        <v>250</v>
      </c>
      <c r="E2378" s="14" t="s">
        <v>250</v>
      </c>
      <c r="F2378" s="14">
        <v>60.495674375067146</v>
      </c>
      <c r="G2378" s="14">
        <v>60.49567437506704</v>
      </c>
      <c r="H2378" s="14">
        <v>12.278003681157353</v>
      </c>
      <c r="I2378" s="14">
        <v>10.307983071036052</v>
      </c>
      <c r="J2378" s="14" t="s">
        <v>250</v>
      </c>
    </row>
    <row r="2379" spans="1:10" ht="15.75" x14ac:dyDescent="0.5">
      <c r="A2379" s="13" t="s">
        <v>362</v>
      </c>
      <c r="B2379" s="13" t="s">
        <v>405</v>
      </c>
      <c r="C2379" s="13" t="s">
        <v>400</v>
      </c>
      <c r="D2379" s="14">
        <v>1259.3891290889949</v>
      </c>
      <c r="E2379" s="14">
        <v>1460.6556034412383</v>
      </c>
      <c r="F2379" s="14">
        <v>1607.0702326304504</v>
      </c>
      <c r="G2379" s="14">
        <v>1800.1056396033514</v>
      </c>
      <c r="H2379" s="14">
        <v>1503.2435488027313</v>
      </c>
      <c r="I2379" s="14">
        <v>1120.7292408093674</v>
      </c>
      <c r="J2379" s="14">
        <v>1148.1135368971538</v>
      </c>
    </row>
    <row r="2380" spans="1:10" ht="15.75" x14ac:dyDescent="0.5">
      <c r="A2380" s="13" t="s">
        <v>362</v>
      </c>
      <c r="B2380" s="13" t="s">
        <v>406</v>
      </c>
      <c r="C2380" s="13" t="s">
        <v>400</v>
      </c>
      <c r="D2380" s="14">
        <v>23.479196814299339</v>
      </c>
      <c r="E2380" s="14">
        <v>31.479670308214988</v>
      </c>
      <c r="F2380" s="14">
        <v>41.75018059024719</v>
      </c>
      <c r="G2380" s="14">
        <v>41.97528099368234</v>
      </c>
      <c r="H2380" s="14">
        <v>38.701113064677841</v>
      </c>
      <c r="I2380" s="14">
        <v>34.452217497513914</v>
      </c>
      <c r="J2380" s="14">
        <v>32.24465998248121</v>
      </c>
    </row>
    <row r="2381" spans="1:10" ht="15.75" x14ac:dyDescent="0.5">
      <c r="A2381" s="13" t="s">
        <v>362</v>
      </c>
      <c r="B2381" s="13" t="s">
        <v>407</v>
      </c>
      <c r="C2381" s="13" t="s">
        <v>400</v>
      </c>
      <c r="D2381" s="14" t="s">
        <v>250</v>
      </c>
      <c r="E2381" s="14">
        <v>119.93555366394664</v>
      </c>
      <c r="F2381" s="14">
        <v>51.535530455641791</v>
      </c>
      <c r="G2381" s="14">
        <v>85.208241040539733</v>
      </c>
      <c r="H2381" s="14" t="s">
        <v>250</v>
      </c>
      <c r="I2381" s="14" t="s">
        <v>250</v>
      </c>
      <c r="J2381" s="14" t="s">
        <v>250</v>
      </c>
    </row>
    <row r="2382" spans="1:10" ht="15.75" x14ac:dyDescent="0.5">
      <c r="A2382" s="13" t="s">
        <v>362</v>
      </c>
      <c r="B2382" s="13" t="s">
        <v>408</v>
      </c>
      <c r="C2382" s="13" t="s">
        <v>400</v>
      </c>
      <c r="D2382" s="14">
        <v>46.892290321001241</v>
      </c>
      <c r="E2382" s="14">
        <v>29.668125324932173</v>
      </c>
      <c r="F2382" s="14">
        <v>22.259490583935349</v>
      </c>
      <c r="G2382" s="14">
        <v>28.26602396702561</v>
      </c>
      <c r="H2382" s="14">
        <v>26.992337362863541</v>
      </c>
      <c r="I2382" s="14">
        <v>22.863064475609562</v>
      </c>
      <c r="J2382" s="14">
        <v>19.932520131219363</v>
      </c>
    </row>
    <row r="2383" spans="1:10" ht="15.75" x14ac:dyDescent="0.5">
      <c r="A2383" s="13" t="s">
        <v>362</v>
      </c>
      <c r="B2383" s="13" t="s">
        <v>409</v>
      </c>
      <c r="C2383" s="13" t="s">
        <v>400</v>
      </c>
      <c r="D2383" s="14">
        <v>18.365704270000034</v>
      </c>
      <c r="E2383" s="14">
        <v>18.365704270000037</v>
      </c>
      <c r="F2383" s="14">
        <v>18.365704270000034</v>
      </c>
      <c r="G2383" s="14">
        <v>18.365704270000034</v>
      </c>
      <c r="H2383" s="14">
        <v>18.36570427000003</v>
      </c>
      <c r="I2383" s="14">
        <v>18.365704270000037</v>
      </c>
      <c r="J2383" s="14">
        <v>17.674442068306604</v>
      </c>
    </row>
    <row r="2384" spans="1:10" ht="15.75" x14ac:dyDescent="0.5">
      <c r="A2384" s="13" t="s">
        <v>362</v>
      </c>
      <c r="B2384" s="13" t="s">
        <v>410</v>
      </c>
      <c r="C2384" s="13" t="s">
        <v>400</v>
      </c>
      <c r="D2384" s="14">
        <v>245.79356253202221</v>
      </c>
      <c r="E2384" s="14">
        <v>244.62902255612576</v>
      </c>
      <c r="F2384" s="14">
        <v>245.72165644761623</v>
      </c>
      <c r="G2384" s="14">
        <v>246.16997594139107</v>
      </c>
      <c r="H2384" s="14">
        <v>246.10421681730381</v>
      </c>
      <c r="I2384" s="14">
        <v>246.00035470022306</v>
      </c>
      <c r="J2384" s="14">
        <v>246.15892045000609</v>
      </c>
    </row>
    <row r="2385" spans="1:10" ht="15.75" x14ac:dyDescent="0.5">
      <c r="A2385" s="13" t="s">
        <v>362</v>
      </c>
      <c r="B2385" s="13" t="s">
        <v>411</v>
      </c>
      <c r="C2385" s="13" t="s">
        <v>400</v>
      </c>
      <c r="D2385" s="14">
        <v>7.1394000000000153</v>
      </c>
      <c r="E2385" s="14">
        <v>3.5593489051094975</v>
      </c>
      <c r="F2385" s="14" t="s">
        <v>250</v>
      </c>
      <c r="G2385" s="14" t="s">
        <v>250</v>
      </c>
      <c r="H2385" s="14" t="s">
        <v>250</v>
      </c>
      <c r="I2385" s="14" t="s">
        <v>250</v>
      </c>
      <c r="J2385" s="14" t="s">
        <v>250</v>
      </c>
    </row>
    <row r="2386" spans="1:10" ht="15.75" x14ac:dyDescent="0.5">
      <c r="A2386" s="13" t="s">
        <v>362</v>
      </c>
      <c r="B2386" s="13" t="s">
        <v>412</v>
      </c>
      <c r="C2386" s="13" t="s">
        <v>400</v>
      </c>
      <c r="D2386" s="14">
        <v>760.72545968400163</v>
      </c>
      <c r="E2386" s="14">
        <v>743.87881498400691</v>
      </c>
      <c r="F2386" s="14">
        <v>509.55372417612944</v>
      </c>
      <c r="G2386" s="14">
        <v>557.74111783543833</v>
      </c>
      <c r="H2386" s="14">
        <v>54.24472406374769</v>
      </c>
      <c r="I2386" s="14" t="s">
        <v>250</v>
      </c>
      <c r="J2386" s="14" t="s">
        <v>250</v>
      </c>
    </row>
    <row r="2387" spans="1:10" ht="15.75" x14ac:dyDescent="0.5">
      <c r="A2387" s="13" t="s">
        <v>362</v>
      </c>
      <c r="B2387" s="13" t="s">
        <v>413</v>
      </c>
      <c r="C2387" s="13" t="s">
        <v>400</v>
      </c>
      <c r="D2387" s="14">
        <v>23.70292761988614</v>
      </c>
      <c r="E2387" s="14">
        <v>26.214546460751038</v>
      </c>
      <c r="F2387" s="14">
        <v>10.708202608123431</v>
      </c>
      <c r="G2387" s="14">
        <v>6.9793599982101755</v>
      </c>
      <c r="H2387" s="14">
        <v>2.322513658610454</v>
      </c>
      <c r="I2387" s="14">
        <v>3.8267366615423022</v>
      </c>
      <c r="J2387" s="14">
        <v>4.1778698854123766</v>
      </c>
    </row>
    <row r="2388" spans="1:10" ht="15.75" x14ac:dyDescent="0.5">
      <c r="A2388" s="13" t="s">
        <v>362</v>
      </c>
      <c r="B2388" s="13" t="s">
        <v>414</v>
      </c>
      <c r="C2388" s="13" t="s">
        <v>400</v>
      </c>
      <c r="D2388" s="14">
        <v>0.6803907705109502</v>
      </c>
      <c r="E2388" s="14">
        <v>24.434347310897387</v>
      </c>
      <c r="F2388" s="14">
        <v>100.51338569650724</v>
      </c>
      <c r="G2388" s="14">
        <v>206.7309074836555</v>
      </c>
      <c r="H2388" s="14">
        <v>253.14995856679585</v>
      </c>
      <c r="I2388" s="14">
        <v>254.66876339142499</v>
      </c>
      <c r="J2388" s="14">
        <v>255.84481304591139</v>
      </c>
    </row>
    <row r="2389" spans="1:10" ht="15.75" x14ac:dyDescent="0.5">
      <c r="A2389" s="13" t="s">
        <v>362</v>
      </c>
      <c r="B2389" s="13" t="s">
        <v>415</v>
      </c>
      <c r="C2389" s="13" t="s">
        <v>400</v>
      </c>
      <c r="D2389" s="14">
        <v>440.53124483255567</v>
      </c>
      <c r="E2389" s="14">
        <v>873.81161801124631</v>
      </c>
      <c r="F2389" s="14">
        <v>1354.084621897267</v>
      </c>
      <c r="G2389" s="14">
        <v>1409.8903507416792</v>
      </c>
      <c r="H2389" s="14">
        <v>2126.7924830378902</v>
      </c>
      <c r="I2389" s="14">
        <v>3348.0882014963909</v>
      </c>
      <c r="J2389" s="14">
        <v>3383.2175158605664</v>
      </c>
    </row>
    <row r="2390" spans="1:10" ht="15.75" x14ac:dyDescent="0.5">
      <c r="A2390" s="13" t="s">
        <v>362</v>
      </c>
      <c r="B2390" s="13" t="s">
        <v>416</v>
      </c>
      <c r="C2390" s="13" t="s">
        <v>400</v>
      </c>
      <c r="D2390" s="14" t="s">
        <v>250</v>
      </c>
      <c r="E2390" s="14">
        <v>70.93449868290071</v>
      </c>
      <c r="F2390" s="14">
        <v>100.195461227937</v>
      </c>
      <c r="G2390" s="14">
        <v>127.69344447727372</v>
      </c>
      <c r="H2390" s="14">
        <v>145.88323771792338</v>
      </c>
      <c r="I2390" s="14">
        <v>165.77906731373238</v>
      </c>
      <c r="J2390" s="14">
        <v>186.28657305490799</v>
      </c>
    </row>
    <row r="2391" spans="1:10" ht="15.75" x14ac:dyDescent="0.5">
      <c r="A2391" s="13" t="s">
        <v>362</v>
      </c>
      <c r="B2391" s="13" t="s">
        <v>417</v>
      </c>
      <c r="C2391" s="13" t="s">
        <v>400</v>
      </c>
      <c r="D2391" s="14">
        <v>187.48709633408694</v>
      </c>
      <c r="E2391" s="14">
        <v>298.36286233429848</v>
      </c>
      <c r="F2391" s="14">
        <v>339.94935565504704</v>
      </c>
      <c r="G2391" s="14">
        <v>935.77764789021228</v>
      </c>
      <c r="H2391" s="14">
        <v>2771.7782572883775</v>
      </c>
      <c r="I2391" s="14">
        <v>3864.7523032616909</v>
      </c>
      <c r="J2391" s="14">
        <v>3938.3410047875354</v>
      </c>
    </row>
    <row r="2392" spans="1:10" ht="15.75" x14ac:dyDescent="0.5">
      <c r="A2392" s="13" t="s">
        <v>362</v>
      </c>
      <c r="B2392" s="13" t="s">
        <v>418</v>
      </c>
      <c r="C2392" s="13" t="s">
        <v>400</v>
      </c>
      <c r="D2392" s="14">
        <v>3.184175173101953</v>
      </c>
      <c r="E2392" s="14">
        <v>3.184175173101953</v>
      </c>
      <c r="F2392" s="14">
        <v>3.1841751731019539</v>
      </c>
      <c r="G2392" s="14">
        <v>3.1841751731019539</v>
      </c>
      <c r="H2392" s="14">
        <v>3.1841751731019534</v>
      </c>
      <c r="I2392" s="14">
        <v>3.1841751731019534</v>
      </c>
      <c r="J2392" s="14">
        <v>3.1841751731019534</v>
      </c>
    </row>
    <row r="2393" spans="1:10" ht="15.75" x14ac:dyDescent="0.5">
      <c r="A2393" s="13" t="s">
        <v>362</v>
      </c>
      <c r="B2393" s="13" t="s">
        <v>419</v>
      </c>
      <c r="C2393" s="13" t="s">
        <v>400</v>
      </c>
      <c r="D2393" s="14">
        <v>0.54465920264079515</v>
      </c>
      <c r="E2393" s="14">
        <v>8.6254968248013011</v>
      </c>
      <c r="F2393" s="14">
        <v>58.513551593295546</v>
      </c>
      <c r="G2393" s="14">
        <v>158.09097355165619</v>
      </c>
      <c r="H2393" s="14">
        <v>964.80343185627032</v>
      </c>
      <c r="I2393" s="14">
        <v>1858.3581925295616</v>
      </c>
      <c r="J2393" s="14">
        <v>2021.2903957985386</v>
      </c>
    </row>
    <row r="2394" spans="1:10" ht="15.75" x14ac:dyDescent="0.5">
      <c r="A2394" s="13" t="s">
        <v>362</v>
      </c>
      <c r="B2394" s="13" t="s">
        <v>420</v>
      </c>
      <c r="C2394" s="13" t="s">
        <v>400</v>
      </c>
      <c r="D2394" s="14">
        <v>-13.987252957808314</v>
      </c>
      <c r="E2394" s="14">
        <v>-13.463246531015098</v>
      </c>
      <c r="F2394" s="14">
        <v>-12.274912437970489</v>
      </c>
      <c r="G2394" s="14">
        <v>-11.512676689330183</v>
      </c>
      <c r="H2394" s="14">
        <v>-12.976315906799528</v>
      </c>
      <c r="I2394" s="14">
        <v>-16.07231309791365</v>
      </c>
      <c r="J2394" s="14">
        <v>-20.252857706266482</v>
      </c>
    </row>
    <row r="2395" spans="1:10" ht="15.75" x14ac:dyDescent="0.5">
      <c r="A2395" s="13" t="s">
        <v>363</v>
      </c>
      <c r="B2395" s="13" t="s">
        <v>399</v>
      </c>
      <c r="C2395" s="13" t="s">
        <v>400</v>
      </c>
      <c r="D2395" s="14">
        <v>7.2499064625597898</v>
      </c>
      <c r="E2395" s="14">
        <v>0.20898189426953423</v>
      </c>
      <c r="F2395" s="14">
        <v>0.51246000000000103</v>
      </c>
      <c r="G2395" s="14">
        <v>3.2400000000000007E-3</v>
      </c>
      <c r="H2395" s="14" t="s">
        <v>250</v>
      </c>
      <c r="I2395" s="14" t="s">
        <v>250</v>
      </c>
      <c r="J2395" s="14">
        <v>7.8506277372262876E-3</v>
      </c>
    </row>
    <row r="2396" spans="1:10" ht="15.75" x14ac:dyDescent="0.5">
      <c r="A2396" s="13" t="s">
        <v>363</v>
      </c>
      <c r="B2396" s="13" t="s">
        <v>401</v>
      </c>
      <c r="C2396" s="13" t="s">
        <v>400</v>
      </c>
      <c r="D2396" s="14" t="s">
        <v>250</v>
      </c>
      <c r="E2396" s="14" t="s">
        <v>250</v>
      </c>
      <c r="F2396" s="14">
        <v>90.771990720792019</v>
      </c>
      <c r="G2396" s="14">
        <v>90.771990720792019</v>
      </c>
      <c r="H2396" s="14">
        <v>6.1907291772263378</v>
      </c>
      <c r="I2396" s="14" t="s">
        <v>250</v>
      </c>
      <c r="J2396" s="14" t="s">
        <v>250</v>
      </c>
    </row>
    <row r="2397" spans="1:10" ht="15.75" x14ac:dyDescent="0.5">
      <c r="A2397" s="13" t="s">
        <v>363</v>
      </c>
      <c r="B2397" s="13" t="s">
        <v>402</v>
      </c>
      <c r="C2397" s="13" t="s">
        <v>400</v>
      </c>
      <c r="D2397" s="14">
        <v>1072.9916742877463</v>
      </c>
      <c r="E2397" s="14">
        <v>272.17926074020443</v>
      </c>
      <c r="F2397" s="14">
        <v>150.13414062097516</v>
      </c>
      <c r="G2397" s="14">
        <v>159.46312755158922</v>
      </c>
      <c r="H2397" s="14">
        <v>105.00913240503326</v>
      </c>
      <c r="I2397" s="14">
        <v>40.712075404034074</v>
      </c>
      <c r="J2397" s="14">
        <v>37.615045296376458</v>
      </c>
    </row>
    <row r="2398" spans="1:10" ht="15.75" x14ac:dyDescent="0.5">
      <c r="A2398" s="13" t="s">
        <v>363</v>
      </c>
      <c r="B2398" s="13" t="s">
        <v>403</v>
      </c>
      <c r="C2398" s="13" t="s">
        <v>400</v>
      </c>
      <c r="D2398" s="14" t="s">
        <v>250</v>
      </c>
      <c r="E2398" s="14" t="s">
        <v>250</v>
      </c>
      <c r="F2398" s="14">
        <v>60.522590477205298</v>
      </c>
      <c r="G2398" s="14">
        <v>60.522590477205306</v>
      </c>
      <c r="H2398" s="14">
        <v>12.283401295222507</v>
      </c>
      <c r="I2398" s="14">
        <v>10.325984892008595</v>
      </c>
      <c r="J2398" s="14" t="s">
        <v>250</v>
      </c>
    </row>
    <row r="2399" spans="1:10" ht="15.75" x14ac:dyDescent="0.5">
      <c r="A2399" s="13" t="s">
        <v>363</v>
      </c>
      <c r="B2399" s="13" t="s">
        <v>421</v>
      </c>
      <c r="C2399" s="13" t="s">
        <v>400</v>
      </c>
      <c r="D2399" s="14" t="s">
        <v>250</v>
      </c>
      <c r="E2399" s="14" t="s">
        <v>250</v>
      </c>
      <c r="F2399" s="14" t="s">
        <v>250</v>
      </c>
      <c r="G2399" s="14">
        <v>0.97428419379733078</v>
      </c>
      <c r="H2399" s="14">
        <v>2.6261147335347323</v>
      </c>
      <c r="I2399" s="14">
        <v>2.6261147335347328</v>
      </c>
      <c r="J2399" s="14">
        <v>0.41464969476864239</v>
      </c>
    </row>
    <row r="2400" spans="1:10" ht="15.75" x14ac:dyDescent="0.5">
      <c r="A2400" s="13" t="s">
        <v>363</v>
      </c>
      <c r="B2400" s="13" t="s">
        <v>405</v>
      </c>
      <c r="C2400" s="13" t="s">
        <v>400</v>
      </c>
      <c r="D2400" s="14">
        <v>1259.3891290889947</v>
      </c>
      <c r="E2400" s="14">
        <v>1460.6598959739592</v>
      </c>
      <c r="F2400" s="14">
        <v>1606.8861024717428</v>
      </c>
      <c r="G2400" s="14">
        <v>1798.5634992057201</v>
      </c>
      <c r="H2400" s="14">
        <v>1500.4445539481706</v>
      </c>
      <c r="I2400" s="14">
        <v>1117.8863210322911</v>
      </c>
      <c r="J2400" s="14">
        <v>1147.0662283278914</v>
      </c>
    </row>
    <row r="2401" spans="1:10" ht="15.75" x14ac:dyDescent="0.5">
      <c r="A2401" s="13" t="s">
        <v>363</v>
      </c>
      <c r="B2401" s="13" t="s">
        <v>406</v>
      </c>
      <c r="C2401" s="13" t="s">
        <v>400</v>
      </c>
      <c r="D2401" s="14">
        <v>23.479196814299328</v>
      </c>
      <c r="E2401" s="14">
        <v>31.478004663979707</v>
      </c>
      <c r="F2401" s="14">
        <v>41.746964557234861</v>
      </c>
      <c r="G2401" s="14">
        <v>41.964308654619941</v>
      </c>
      <c r="H2401" s="14">
        <v>38.641974579366547</v>
      </c>
      <c r="I2401" s="14">
        <v>34.443411422117542</v>
      </c>
      <c r="J2401" s="14">
        <v>32.242120549950471</v>
      </c>
    </row>
    <row r="2402" spans="1:10" ht="15.75" x14ac:dyDescent="0.5">
      <c r="A2402" s="13" t="s">
        <v>363</v>
      </c>
      <c r="B2402" s="13" t="s">
        <v>407</v>
      </c>
      <c r="C2402" s="13" t="s">
        <v>400</v>
      </c>
      <c r="D2402" s="14" t="s">
        <v>250</v>
      </c>
      <c r="E2402" s="14">
        <v>119.95173364660403</v>
      </c>
      <c r="F2402" s="14">
        <v>51.535530455641805</v>
      </c>
      <c r="G2402" s="14">
        <v>85.358879239704805</v>
      </c>
      <c r="H2402" s="14" t="s">
        <v>250</v>
      </c>
      <c r="I2402" s="14" t="s">
        <v>250</v>
      </c>
      <c r="J2402" s="14" t="s">
        <v>250</v>
      </c>
    </row>
    <row r="2403" spans="1:10" ht="15.75" x14ac:dyDescent="0.5">
      <c r="A2403" s="13" t="s">
        <v>363</v>
      </c>
      <c r="B2403" s="13" t="s">
        <v>408</v>
      </c>
      <c r="C2403" s="13" t="s">
        <v>400</v>
      </c>
      <c r="D2403" s="14">
        <v>46.892290321001227</v>
      </c>
      <c r="E2403" s="14">
        <v>29.6583300986062</v>
      </c>
      <c r="F2403" s="14">
        <v>22.253908253457144</v>
      </c>
      <c r="G2403" s="14">
        <v>28.264629972039298</v>
      </c>
      <c r="H2403" s="14">
        <v>26.981484304308925</v>
      </c>
      <c r="I2403" s="14">
        <v>22.863060952127721</v>
      </c>
      <c r="J2403" s="14">
        <v>19.931498980243116</v>
      </c>
    </row>
    <row r="2404" spans="1:10" ht="15.75" x14ac:dyDescent="0.5">
      <c r="A2404" s="13" t="s">
        <v>363</v>
      </c>
      <c r="B2404" s="13" t="s">
        <v>409</v>
      </c>
      <c r="C2404" s="13" t="s">
        <v>400</v>
      </c>
      <c r="D2404" s="14">
        <v>18.365704270000034</v>
      </c>
      <c r="E2404" s="14">
        <v>18.36570427000003</v>
      </c>
      <c r="F2404" s="14">
        <v>18.36570427000003</v>
      </c>
      <c r="G2404" s="14">
        <v>18.365704270000037</v>
      </c>
      <c r="H2404" s="14">
        <v>18.36570427000003</v>
      </c>
      <c r="I2404" s="14">
        <v>18.365704270000037</v>
      </c>
      <c r="J2404" s="14">
        <v>17.6744420683066</v>
      </c>
    </row>
    <row r="2405" spans="1:10" ht="15.75" x14ac:dyDescent="0.5">
      <c r="A2405" s="13" t="s">
        <v>363</v>
      </c>
      <c r="B2405" s="13" t="s">
        <v>410</v>
      </c>
      <c r="C2405" s="13" t="s">
        <v>400</v>
      </c>
      <c r="D2405" s="14">
        <v>245.79356253202215</v>
      </c>
      <c r="E2405" s="14">
        <v>244.62902255612582</v>
      </c>
      <c r="F2405" s="14">
        <v>245.72205055340797</v>
      </c>
      <c r="G2405" s="14">
        <v>246.16997594139102</v>
      </c>
      <c r="H2405" s="14">
        <v>246.10421681730347</v>
      </c>
      <c r="I2405" s="14">
        <v>246.00035470022314</v>
      </c>
      <c r="J2405" s="14">
        <v>246.15892045000419</v>
      </c>
    </row>
    <row r="2406" spans="1:10" ht="15.75" x14ac:dyDescent="0.5">
      <c r="A2406" s="13" t="s">
        <v>363</v>
      </c>
      <c r="B2406" s="13" t="s">
        <v>411</v>
      </c>
      <c r="C2406" s="13" t="s">
        <v>400</v>
      </c>
      <c r="D2406" s="14">
        <v>7.1394000000000153</v>
      </c>
      <c r="E2406" s="14">
        <v>3.5593489051094975</v>
      </c>
      <c r="F2406" s="14" t="s">
        <v>250</v>
      </c>
      <c r="G2406" s="14" t="s">
        <v>250</v>
      </c>
      <c r="H2406" s="14" t="s">
        <v>250</v>
      </c>
      <c r="I2406" s="14" t="s">
        <v>250</v>
      </c>
      <c r="J2406" s="14" t="s">
        <v>250</v>
      </c>
    </row>
    <row r="2407" spans="1:10" ht="15.75" x14ac:dyDescent="0.5">
      <c r="A2407" s="13" t="s">
        <v>363</v>
      </c>
      <c r="B2407" s="13" t="s">
        <v>412</v>
      </c>
      <c r="C2407" s="13" t="s">
        <v>400</v>
      </c>
      <c r="D2407" s="14">
        <v>760.72545968400175</v>
      </c>
      <c r="E2407" s="14">
        <v>743.87967251952352</v>
      </c>
      <c r="F2407" s="14">
        <v>509.69301415332626</v>
      </c>
      <c r="G2407" s="14">
        <v>557.83473073966616</v>
      </c>
      <c r="H2407" s="14">
        <v>53.94556561697933</v>
      </c>
      <c r="I2407" s="14" t="s">
        <v>250</v>
      </c>
      <c r="J2407" s="14" t="s">
        <v>250</v>
      </c>
    </row>
    <row r="2408" spans="1:10" ht="15.75" x14ac:dyDescent="0.5">
      <c r="A2408" s="13" t="s">
        <v>363</v>
      </c>
      <c r="B2408" s="13" t="s">
        <v>413</v>
      </c>
      <c r="C2408" s="13" t="s">
        <v>400</v>
      </c>
      <c r="D2408" s="14">
        <v>23.702927619886133</v>
      </c>
      <c r="E2408" s="14">
        <v>26.214948374781265</v>
      </c>
      <c r="F2408" s="14">
        <v>10.719857428235535</v>
      </c>
      <c r="G2408" s="14">
        <v>6.9990354297779982</v>
      </c>
      <c r="H2408" s="14">
        <v>2.3572488200498234</v>
      </c>
      <c r="I2408" s="14">
        <v>3.8093717836198007</v>
      </c>
      <c r="J2408" s="14">
        <v>4.1041963865103108</v>
      </c>
    </row>
    <row r="2409" spans="1:10" ht="15.75" x14ac:dyDescent="0.5">
      <c r="A2409" s="13" t="s">
        <v>363</v>
      </c>
      <c r="B2409" s="13" t="s">
        <v>414</v>
      </c>
      <c r="C2409" s="13" t="s">
        <v>400</v>
      </c>
      <c r="D2409" s="14">
        <v>0.68039077051095009</v>
      </c>
      <c r="E2409" s="14">
        <v>24.434347310897387</v>
      </c>
      <c r="F2409" s="14">
        <v>100.51306423355787</v>
      </c>
      <c r="G2409" s="14">
        <v>206.73002278596988</v>
      </c>
      <c r="H2409" s="14">
        <v>253.14906594140925</v>
      </c>
      <c r="I2409" s="14">
        <v>254.6678648624314</v>
      </c>
      <c r="J2409" s="14">
        <v>255.84390996270668</v>
      </c>
    </row>
    <row r="2410" spans="1:10" ht="15.75" x14ac:dyDescent="0.5">
      <c r="A2410" s="13" t="s">
        <v>363</v>
      </c>
      <c r="B2410" s="13" t="s">
        <v>415</v>
      </c>
      <c r="C2410" s="13" t="s">
        <v>400</v>
      </c>
      <c r="D2410" s="14">
        <v>440.53124483255567</v>
      </c>
      <c r="E2410" s="14">
        <v>873.81161801124654</v>
      </c>
      <c r="F2410" s="14">
        <v>1354.0844629224591</v>
      </c>
      <c r="G2410" s="14">
        <v>1409.8801194044393</v>
      </c>
      <c r="H2410" s="14">
        <v>2127.0195819736914</v>
      </c>
      <c r="I2410" s="14">
        <v>3349.0274948150163</v>
      </c>
      <c r="J2410" s="14">
        <v>3384.6343080602819</v>
      </c>
    </row>
    <row r="2411" spans="1:10" ht="15.75" x14ac:dyDescent="0.5">
      <c r="A2411" s="13" t="s">
        <v>363</v>
      </c>
      <c r="B2411" s="13" t="s">
        <v>416</v>
      </c>
      <c r="C2411" s="13" t="s">
        <v>400</v>
      </c>
      <c r="D2411" s="14" t="s">
        <v>250</v>
      </c>
      <c r="E2411" s="14">
        <v>70.934498682900696</v>
      </c>
      <c r="F2411" s="14">
        <v>100.19546122793696</v>
      </c>
      <c r="G2411" s="14">
        <v>127.69344447727374</v>
      </c>
      <c r="H2411" s="14">
        <v>145.88323771792335</v>
      </c>
      <c r="I2411" s="14">
        <v>165.77906731373224</v>
      </c>
      <c r="J2411" s="14">
        <v>186.28657305490808</v>
      </c>
    </row>
    <row r="2412" spans="1:10" ht="15.75" x14ac:dyDescent="0.5">
      <c r="A2412" s="13" t="s">
        <v>363</v>
      </c>
      <c r="B2412" s="13" t="s">
        <v>417</v>
      </c>
      <c r="C2412" s="13" t="s">
        <v>400</v>
      </c>
      <c r="D2412" s="14">
        <v>187.48709633408703</v>
      </c>
      <c r="E2412" s="14">
        <v>298.36286233429854</v>
      </c>
      <c r="F2412" s="14">
        <v>339.94935565504704</v>
      </c>
      <c r="G2412" s="14">
        <v>935.7128485402236</v>
      </c>
      <c r="H2412" s="14">
        <v>2771.9867062069943</v>
      </c>
      <c r="I2412" s="14">
        <v>3864.3877365995518</v>
      </c>
      <c r="J2412" s="14">
        <v>3937.8103672466482</v>
      </c>
    </row>
    <row r="2413" spans="1:10" ht="15.75" x14ac:dyDescent="0.5">
      <c r="A2413" s="13" t="s">
        <v>363</v>
      </c>
      <c r="B2413" s="13" t="s">
        <v>418</v>
      </c>
      <c r="C2413" s="13" t="s">
        <v>400</v>
      </c>
      <c r="D2413" s="14">
        <v>3.184175173101953</v>
      </c>
      <c r="E2413" s="14">
        <v>3.184175173101953</v>
      </c>
      <c r="F2413" s="14">
        <v>3.184175173101953</v>
      </c>
      <c r="G2413" s="14">
        <v>3.184175173101953</v>
      </c>
      <c r="H2413" s="14">
        <v>3.1841751731019534</v>
      </c>
      <c r="I2413" s="14">
        <v>3.184175173101953</v>
      </c>
      <c r="J2413" s="14">
        <v>3.1841751731019539</v>
      </c>
    </row>
    <row r="2414" spans="1:10" ht="15.75" x14ac:dyDescent="0.5">
      <c r="A2414" s="13" t="s">
        <v>363</v>
      </c>
      <c r="B2414" s="13" t="s">
        <v>419</v>
      </c>
      <c r="C2414" s="13" t="s">
        <v>400</v>
      </c>
      <c r="D2414" s="14">
        <v>0.54465920264079504</v>
      </c>
      <c r="E2414" s="14">
        <v>8.6123759183227424</v>
      </c>
      <c r="F2414" s="14">
        <v>58.530186497097375</v>
      </c>
      <c r="G2414" s="14">
        <v>158.06279880088087</v>
      </c>
      <c r="H2414" s="14">
        <v>965.00374271914097</v>
      </c>
      <c r="I2414" s="14">
        <v>1858.556450350492</v>
      </c>
      <c r="J2414" s="14">
        <v>2022.3762817695053</v>
      </c>
    </row>
    <row r="2415" spans="1:10" ht="15.75" x14ac:dyDescent="0.5">
      <c r="A2415" s="13" t="s">
        <v>363</v>
      </c>
      <c r="B2415" s="13" t="s">
        <v>420</v>
      </c>
      <c r="C2415" s="13" t="s">
        <v>400</v>
      </c>
      <c r="D2415" s="14">
        <v>-13.987252957808431</v>
      </c>
      <c r="E2415" s="14">
        <v>-13.463571439852744</v>
      </c>
      <c r="F2415" s="14">
        <v>-12.279230664145224</v>
      </c>
      <c r="G2415" s="14">
        <v>-11.538010743506099</v>
      </c>
      <c r="H2415" s="14">
        <v>-12.969985093512564</v>
      </c>
      <c r="I2415" s="14">
        <v>-16.067267004262192</v>
      </c>
      <c r="J2415" s="14">
        <v>-20.222068853329262</v>
      </c>
    </row>
    <row r="2416" spans="1:10" ht="15.75" x14ac:dyDescent="0.5">
      <c r="A2416" s="13" t="s">
        <v>364</v>
      </c>
      <c r="B2416" s="13" t="s">
        <v>399</v>
      </c>
      <c r="C2416" s="13" t="s">
        <v>400</v>
      </c>
      <c r="D2416" s="14">
        <v>7.2499064625597889</v>
      </c>
      <c r="E2416" s="14">
        <v>0.2089818942695269</v>
      </c>
      <c r="F2416" s="14">
        <v>0.51246000000000114</v>
      </c>
      <c r="G2416" s="14">
        <v>3.2400000000000007E-3</v>
      </c>
      <c r="H2416" s="14" t="s">
        <v>250</v>
      </c>
      <c r="I2416" s="14" t="s">
        <v>250</v>
      </c>
      <c r="J2416" s="14">
        <v>7.8506277372262876E-3</v>
      </c>
    </row>
    <row r="2417" spans="1:10" ht="15.75" x14ac:dyDescent="0.5">
      <c r="A2417" s="13" t="s">
        <v>364</v>
      </c>
      <c r="B2417" s="13" t="s">
        <v>401</v>
      </c>
      <c r="C2417" s="13" t="s">
        <v>400</v>
      </c>
      <c r="D2417" s="14" t="s">
        <v>250</v>
      </c>
      <c r="E2417" s="14" t="s">
        <v>250</v>
      </c>
      <c r="F2417" s="14">
        <v>90.771990721107613</v>
      </c>
      <c r="G2417" s="14">
        <v>90.771990721107642</v>
      </c>
      <c r="H2417" s="14">
        <v>6.1907306462738125</v>
      </c>
      <c r="I2417" s="14" t="s">
        <v>250</v>
      </c>
      <c r="J2417" s="14" t="s">
        <v>250</v>
      </c>
    </row>
    <row r="2418" spans="1:10" ht="15.75" x14ac:dyDescent="0.5">
      <c r="A2418" s="13" t="s">
        <v>364</v>
      </c>
      <c r="B2418" s="13" t="s">
        <v>402</v>
      </c>
      <c r="C2418" s="13" t="s">
        <v>400</v>
      </c>
      <c r="D2418" s="14">
        <v>1072.9916742877463</v>
      </c>
      <c r="E2418" s="14">
        <v>272.17926182534308</v>
      </c>
      <c r="F2418" s="14">
        <v>150.13414078858236</v>
      </c>
      <c r="G2418" s="14">
        <v>159.46312655339366</v>
      </c>
      <c r="H2418" s="14">
        <v>105.00913232830273</v>
      </c>
      <c r="I2418" s="14">
        <v>40.712076547474226</v>
      </c>
      <c r="J2418" s="14">
        <v>37.615046381020527</v>
      </c>
    </row>
    <row r="2419" spans="1:10" ht="15.75" x14ac:dyDescent="0.5">
      <c r="A2419" s="13" t="s">
        <v>364</v>
      </c>
      <c r="B2419" s="13" t="s">
        <v>403</v>
      </c>
      <c r="C2419" s="13" t="s">
        <v>400</v>
      </c>
      <c r="D2419" s="14" t="s">
        <v>250</v>
      </c>
      <c r="E2419" s="14" t="s">
        <v>250</v>
      </c>
      <c r="F2419" s="14">
        <v>60.522592569212385</v>
      </c>
      <c r="G2419" s="14">
        <v>60.522592569212378</v>
      </c>
      <c r="H2419" s="14">
        <v>12.283401714742643</v>
      </c>
      <c r="I2419" s="14">
        <v>10.325984235887518</v>
      </c>
      <c r="J2419" s="14" t="s">
        <v>250</v>
      </c>
    </row>
    <row r="2420" spans="1:10" ht="15.75" x14ac:dyDescent="0.5">
      <c r="A2420" s="13" t="s">
        <v>364</v>
      </c>
      <c r="B2420" s="13" t="s">
        <v>421</v>
      </c>
      <c r="C2420" s="13" t="s">
        <v>400</v>
      </c>
      <c r="D2420" s="14" t="s">
        <v>250</v>
      </c>
      <c r="E2420" s="14" t="s">
        <v>250</v>
      </c>
      <c r="F2420" s="14" t="s">
        <v>250</v>
      </c>
      <c r="G2420" s="14">
        <v>0.974284193797331</v>
      </c>
      <c r="H2420" s="14">
        <v>2.6261147335347323</v>
      </c>
      <c r="I2420" s="14">
        <v>2.6261147335347328</v>
      </c>
      <c r="J2420" s="14">
        <v>0.41464969476864205</v>
      </c>
    </row>
    <row r="2421" spans="1:10" ht="15.75" x14ac:dyDescent="0.5">
      <c r="A2421" s="13" t="s">
        <v>364</v>
      </c>
      <c r="B2421" s="13" t="s">
        <v>405</v>
      </c>
      <c r="C2421" s="13" t="s">
        <v>400</v>
      </c>
      <c r="D2421" s="14">
        <v>1259.3891290889953</v>
      </c>
      <c r="E2421" s="14">
        <v>1460.6598950265914</v>
      </c>
      <c r="F2421" s="14">
        <v>1606.8861029734203</v>
      </c>
      <c r="G2421" s="14">
        <v>1798.5634938383291</v>
      </c>
      <c r="H2421" s="14">
        <v>1500.4445620373567</v>
      </c>
      <c r="I2421" s="14">
        <v>1117.8863339499856</v>
      </c>
      <c r="J2421" s="14">
        <v>1147.066227122353</v>
      </c>
    </row>
    <row r="2422" spans="1:10" ht="15.75" x14ac:dyDescent="0.5">
      <c r="A2422" s="13" t="s">
        <v>364</v>
      </c>
      <c r="B2422" s="13" t="s">
        <v>406</v>
      </c>
      <c r="C2422" s="13" t="s">
        <v>400</v>
      </c>
      <c r="D2422" s="14">
        <v>23.479196814299332</v>
      </c>
      <c r="E2422" s="14">
        <v>31.478004482406813</v>
      </c>
      <c r="F2422" s="14">
        <v>41.746964544403021</v>
      </c>
      <c r="G2422" s="14">
        <v>41.964308840746284</v>
      </c>
      <c r="H2422" s="14">
        <v>38.641973068358688</v>
      </c>
      <c r="I2422" s="14">
        <v>34.443411451656459</v>
      </c>
      <c r="J2422" s="14">
        <v>32.242120882979236</v>
      </c>
    </row>
    <row r="2423" spans="1:10" ht="15.75" x14ac:dyDescent="0.5">
      <c r="A2423" s="13" t="s">
        <v>364</v>
      </c>
      <c r="B2423" s="13" t="s">
        <v>407</v>
      </c>
      <c r="C2423" s="13" t="s">
        <v>400</v>
      </c>
      <c r="D2423" s="14" t="s">
        <v>250</v>
      </c>
      <c r="E2423" s="14">
        <v>119.95173376313758</v>
      </c>
      <c r="F2423" s="14">
        <v>51.535530455641783</v>
      </c>
      <c r="G2423" s="14">
        <v>85.358879428458565</v>
      </c>
      <c r="H2423" s="14" t="s">
        <v>250</v>
      </c>
      <c r="I2423" s="14" t="s">
        <v>250</v>
      </c>
      <c r="J2423" s="14" t="s">
        <v>250</v>
      </c>
    </row>
    <row r="2424" spans="1:10" ht="15.75" x14ac:dyDescent="0.5">
      <c r="A2424" s="13" t="s">
        <v>364</v>
      </c>
      <c r="B2424" s="13" t="s">
        <v>408</v>
      </c>
      <c r="C2424" s="13" t="s">
        <v>400</v>
      </c>
      <c r="D2424" s="14">
        <v>46.892290321001234</v>
      </c>
      <c r="E2424" s="14">
        <v>29.658330180012033</v>
      </c>
      <c r="F2424" s="14">
        <v>22.253908405063701</v>
      </c>
      <c r="G2424" s="14">
        <v>28.264629932009466</v>
      </c>
      <c r="H2424" s="14">
        <v>26.981484443425479</v>
      </c>
      <c r="I2424" s="14">
        <v>22.863060803912315</v>
      </c>
      <c r="J2424" s="14">
        <v>19.931499102750912</v>
      </c>
    </row>
    <row r="2425" spans="1:10" ht="15.75" x14ac:dyDescent="0.5">
      <c r="A2425" s="13" t="s">
        <v>364</v>
      </c>
      <c r="B2425" s="13" t="s">
        <v>409</v>
      </c>
      <c r="C2425" s="13" t="s">
        <v>400</v>
      </c>
      <c r="D2425" s="14">
        <v>18.365704270000034</v>
      </c>
      <c r="E2425" s="14">
        <v>18.365704270000034</v>
      </c>
      <c r="F2425" s="14">
        <v>18.36570427000003</v>
      </c>
      <c r="G2425" s="14">
        <v>18.365704270000034</v>
      </c>
      <c r="H2425" s="14">
        <v>18.36570427000003</v>
      </c>
      <c r="I2425" s="14">
        <v>18.365704270000037</v>
      </c>
      <c r="J2425" s="14">
        <v>17.6744420683066</v>
      </c>
    </row>
    <row r="2426" spans="1:10" ht="15.75" x14ac:dyDescent="0.5">
      <c r="A2426" s="13" t="s">
        <v>364</v>
      </c>
      <c r="B2426" s="13" t="s">
        <v>410</v>
      </c>
      <c r="C2426" s="13" t="s">
        <v>400</v>
      </c>
      <c r="D2426" s="14">
        <v>245.79356253202218</v>
      </c>
      <c r="E2426" s="14">
        <v>244.62902255612568</v>
      </c>
      <c r="F2426" s="14">
        <v>245.7220506141889</v>
      </c>
      <c r="G2426" s="14">
        <v>246.16997594139102</v>
      </c>
      <c r="H2426" s="14">
        <v>246.10421681730355</v>
      </c>
      <c r="I2426" s="14">
        <v>246.00035470022314</v>
      </c>
      <c r="J2426" s="14">
        <v>246.15892045000419</v>
      </c>
    </row>
    <row r="2427" spans="1:10" ht="15.75" x14ac:dyDescent="0.5">
      <c r="A2427" s="13" t="s">
        <v>364</v>
      </c>
      <c r="B2427" s="13" t="s">
        <v>411</v>
      </c>
      <c r="C2427" s="13" t="s">
        <v>400</v>
      </c>
      <c r="D2427" s="14">
        <v>7.1394000000000162</v>
      </c>
      <c r="E2427" s="14">
        <v>3.5593489051094984</v>
      </c>
      <c r="F2427" s="14" t="s">
        <v>250</v>
      </c>
      <c r="G2427" s="14" t="s">
        <v>250</v>
      </c>
      <c r="H2427" s="14" t="s">
        <v>250</v>
      </c>
      <c r="I2427" s="14" t="s">
        <v>250</v>
      </c>
      <c r="J2427" s="14" t="s">
        <v>250</v>
      </c>
    </row>
    <row r="2428" spans="1:10" ht="15.75" x14ac:dyDescent="0.5">
      <c r="A2428" s="13" t="s">
        <v>364</v>
      </c>
      <c r="B2428" s="13" t="s">
        <v>412</v>
      </c>
      <c r="C2428" s="13" t="s">
        <v>400</v>
      </c>
      <c r="D2428" s="14">
        <v>760.72545968400198</v>
      </c>
      <c r="E2428" s="14">
        <v>743.87967253070906</v>
      </c>
      <c r="F2428" s="14">
        <v>509.69301453428238</v>
      </c>
      <c r="G2428" s="14">
        <v>557.83473105844371</v>
      </c>
      <c r="H2428" s="14">
        <v>53.945558362128736</v>
      </c>
      <c r="I2428" s="14" t="s">
        <v>250</v>
      </c>
      <c r="J2428" s="14" t="s">
        <v>250</v>
      </c>
    </row>
    <row r="2429" spans="1:10" ht="15.75" x14ac:dyDescent="0.5">
      <c r="A2429" s="13" t="s">
        <v>364</v>
      </c>
      <c r="B2429" s="13" t="s">
        <v>413</v>
      </c>
      <c r="C2429" s="13" t="s">
        <v>400</v>
      </c>
      <c r="D2429" s="14">
        <v>23.70292761988614</v>
      </c>
      <c r="E2429" s="14">
        <v>26.214948485929799</v>
      </c>
      <c r="F2429" s="14">
        <v>10.719857491294578</v>
      </c>
      <c r="G2429" s="14">
        <v>6.999035001609208</v>
      </c>
      <c r="H2429" s="14">
        <v>2.3572484261431192</v>
      </c>
      <c r="I2429" s="14">
        <v>3.8093713991072864</v>
      </c>
      <c r="J2429" s="14">
        <v>4.1041944409147408</v>
      </c>
    </row>
    <row r="2430" spans="1:10" ht="15.75" x14ac:dyDescent="0.5">
      <c r="A2430" s="13" t="s">
        <v>364</v>
      </c>
      <c r="B2430" s="13" t="s">
        <v>414</v>
      </c>
      <c r="C2430" s="13" t="s">
        <v>400</v>
      </c>
      <c r="D2430" s="14">
        <v>0.6803907705109502</v>
      </c>
      <c r="E2430" s="14">
        <v>24.434347310897387</v>
      </c>
      <c r="F2430" s="14">
        <v>100.51306424054431</v>
      </c>
      <c r="G2430" s="14">
        <v>206.73002280519728</v>
      </c>
      <c r="H2430" s="14">
        <v>253.149065960809</v>
      </c>
      <c r="I2430" s="14">
        <v>254.66786488195945</v>
      </c>
      <c r="J2430" s="14">
        <v>255.84390998233363</v>
      </c>
    </row>
    <row r="2431" spans="1:10" ht="15.75" x14ac:dyDescent="0.5">
      <c r="A2431" s="13" t="s">
        <v>364</v>
      </c>
      <c r="B2431" s="13" t="s">
        <v>415</v>
      </c>
      <c r="C2431" s="13" t="s">
        <v>400</v>
      </c>
      <c r="D2431" s="14">
        <v>440.53124483255556</v>
      </c>
      <c r="E2431" s="14">
        <v>873.81161801124642</v>
      </c>
      <c r="F2431" s="14">
        <v>1354.0844595903923</v>
      </c>
      <c r="G2431" s="14">
        <v>1409.8801172583283</v>
      </c>
      <c r="H2431" s="14">
        <v>2127.0195853805121</v>
      </c>
      <c r="I2431" s="14">
        <v>3349.0274915741925</v>
      </c>
      <c r="J2431" s="14">
        <v>3384.6343115031091</v>
      </c>
    </row>
    <row r="2432" spans="1:10" ht="15.75" x14ac:dyDescent="0.5">
      <c r="A2432" s="13" t="s">
        <v>364</v>
      </c>
      <c r="B2432" s="13" t="s">
        <v>416</v>
      </c>
      <c r="C2432" s="13" t="s">
        <v>400</v>
      </c>
      <c r="D2432" s="14" t="s">
        <v>250</v>
      </c>
      <c r="E2432" s="14">
        <v>70.93449868290071</v>
      </c>
      <c r="F2432" s="14">
        <v>100.19546122793702</v>
      </c>
      <c r="G2432" s="14">
        <v>127.6934444772737</v>
      </c>
      <c r="H2432" s="14">
        <v>145.88323771792341</v>
      </c>
      <c r="I2432" s="14">
        <v>165.77906731373233</v>
      </c>
      <c r="J2432" s="14">
        <v>186.28657305490805</v>
      </c>
    </row>
    <row r="2433" spans="1:10" ht="15.75" x14ac:dyDescent="0.5">
      <c r="A2433" s="13" t="s">
        <v>364</v>
      </c>
      <c r="B2433" s="13" t="s">
        <v>417</v>
      </c>
      <c r="C2433" s="13" t="s">
        <v>400</v>
      </c>
      <c r="D2433" s="14">
        <v>187.48709633408694</v>
      </c>
      <c r="E2433" s="14">
        <v>298.36286233429848</v>
      </c>
      <c r="F2433" s="14">
        <v>339.9493556550467</v>
      </c>
      <c r="G2433" s="14">
        <v>935.71285479415417</v>
      </c>
      <c r="H2433" s="14">
        <v>2771.9866842377414</v>
      </c>
      <c r="I2433" s="14">
        <v>3864.3877365423182</v>
      </c>
      <c r="J2433" s="14">
        <v>3937.8103753198043</v>
      </c>
    </row>
    <row r="2434" spans="1:10" ht="15.75" x14ac:dyDescent="0.5">
      <c r="A2434" s="13" t="s">
        <v>364</v>
      </c>
      <c r="B2434" s="13" t="s">
        <v>418</v>
      </c>
      <c r="C2434" s="13" t="s">
        <v>400</v>
      </c>
      <c r="D2434" s="14">
        <v>3.1841751731019534</v>
      </c>
      <c r="E2434" s="14">
        <v>3.1841751731019534</v>
      </c>
      <c r="F2434" s="14">
        <v>3.1841751731019534</v>
      </c>
      <c r="G2434" s="14">
        <v>3.1841751731019534</v>
      </c>
      <c r="H2434" s="14">
        <v>3.184175173101953</v>
      </c>
      <c r="I2434" s="14">
        <v>3.184175173101953</v>
      </c>
      <c r="J2434" s="14">
        <v>3.1841751731019534</v>
      </c>
    </row>
    <row r="2435" spans="1:10" ht="15.75" x14ac:dyDescent="0.5">
      <c r="A2435" s="13" t="s">
        <v>364</v>
      </c>
      <c r="B2435" s="13" t="s">
        <v>419</v>
      </c>
      <c r="C2435" s="13" t="s">
        <v>400</v>
      </c>
      <c r="D2435" s="14">
        <v>0.54465920264079504</v>
      </c>
      <c r="E2435" s="14">
        <v>8.6123781624938793</v>
      </c>
      <c r="F2435" s="14">
        <v>58.530086997879899</v>
      </c>
      <c r="G2435" s="14">
        <v>158.06277422738592</v>
      </c>
      <c r="H2435" s="14">
        <v>965.00373803178093</v>
      </c>
      <c r="I2435" s="14">
        <v>1858.7050980852509</v>
      </c>
      <c r="J2435" s="14">
        <v>2022.3762855090765</v>
      </c>
    </row>
    <row r="2436" spans="1:10" ht="15.75" x14ac:dyDescent="0.5">
      <c r="A2436" s="13" t="s">
        <v>364</v>
      </c>
      <c r="B2436" s="13" t="s">
        <v>420</v>
      </c>
      <c r="C2436" s="13" t="s">
        <v>400</v>
      </c>
      <c r="D2436" s="14">
        <v>-13.987252957808376</v>
      </c>
      <c r="E2436" s="14">
        <v>-13.463571373652961</v>
      </c>
      <c r="F2436" s="14">
        <v>-12.279844455579648</v>
      </c>
      <c r="G2436" s="14">
        <v>-11.538117783295618</v>
      </c>
      <c r="H2436" s="14">
        <v>-12.969812783508068</v>
      </c>
      <c r="I2436" s="14">
        <v>-16.066447813098154</v>
      </c>
      <c r="J2436" s="14">
        <v>-20.22251819464476</v>
      </c>
    </row>
    <row r="2437" spans="1:10" ht="15.75" x14ac:dyDescent="0.5">
      <c r="A2437" s="13" t="s">
        <v>365</v>
      </c>
      <c r="B2437" s="13" t="s">
        <v>399</v>
      </c>
      <c r="C2437" s="13" t="s">
        <v>400</v>
      </c>
      <c r="D2437" s="14">
        <v>7.2499064625597898</v>
      </c>
      <c r="E2437" s="14">
        <v>0.20898189426950931</v>
      </c>
      <c r="F2437" s="14">
        <v>0.51246000000000103</v>
      </c>
      <c r="G2437" s="14">
        <v>3.2400000000000007E-3</v>
      </c>
      <c r="H2437" s="14" t="s">
        <v>250</v>
      </c>
      <c r="I2437" s="14" t="s">
        <v>250</v>
      </c>
      <c r="J2437" s="14">
        <v>7.8506277372262876E-3</v>
      </c>
    </row>
    <row r="2438" spans="1:10" ht="15.75" x14ac:dyDescent="0.5">
      <c r="A2438" s="13" t="s">
        <v>365</v>
      </c>
      <c r="B2438" s="13" t="s">
        <v>401</v>
      </c>
      <c r="C2438" s="13" t="s">
        <v>400</v>
      </c>
      <c r="D2438" s="14" t="s">
        <v>250</v>
      </c>
      <c r="E2438" s="14" t="s">
        <v>250</v>
      </c>
      <c r="F2438" s="14">
        <v>90.771990720999341</v>
      </c>
      <c r="G2438" s="14">
        <v>90.771990720999298</v>
      </c>
      <c r="H2438" s="14">
        <v>6.1907295738636883</v>
      </c>
      <c r="I2438" s="14" t="s">
        <v>250</v>
      </c>
      <c r="J2438" s="14" t="s">
        <v>250</v>
      </c>
    </row>
    <row r="2439" spans="1:10" ht="15.75" x14ac:dyDescent="0.5">
      <c r="A2439" s="13" t="s">
        <v>365</v>
      </c>
      <c r="B2439" s="13" t="s">
        <v>402</v>
      </c>
      <c r="C2439" s="13" t="s">
        <v>400</v>
      </c>
      <c r="D2439" s="14">
        <v>1072.9916742877465</v>
      </c>
      <c r="E2439" s="14">
        <v>272.17925962319254</v>
      </c>
      <c r="F2439" s="14">
        <v>150.13414029715275</v>
      </c>
      <c r="G2439" s="14">
        <v>159.46312990949053</v>
      </c>
      <c r="H2439" s="14">
        <v>105.00913097783366</v>
      </c>
      <c r="I2439" s="14">
        <v>40.712075948619258</v>
      </c>
      <c r="J2439" s="14">
        <v>37.615043667266029</v>
      </c>
    </row>
    <row r="2440" spans="1:10" ht="15.75" x14ac:dyDescent="0.5">
      <c r="A2440" s="13" t="s">
        <v>365</v>
      </c>
      <c r="B2440" s="13" t="s">
        <v>403</v>
      </c>
      <c r="C2440" s="13" t="s">
        <v>400</v>
      </c>
      <c r="D2440" s="14" t="s">
        <v>250</v>
      </c>
      <c r="E2440" s="14" t="s">
        <v>250</v>
      </c>
      <c r="F2440" s="14">
        <v>60.522590854352735</v>
      </c>
      <c r="G2440" s="14">
        <v>60.522590854352799</v>
      </c>
      <c r="H2440" s="14">
        <v>12.283401370853682</v>
      </c>
      <c r="I2440" s="14">
        <v>10.325984649206054</v>
      </c>
      <c r="J2440" s="14" t="s">
        <v>250</v>
      </c>
    </row>
    <row r="2441" spans="1:10" ht="15.75" x14ac:dyDescent="0.5">
      <c r="A2441" s="13" t="s">
        <v>365</v>
      </c>
      <c r="B2441" s="13" t="s">
        <v>421</v>
      </c>
      <c r="C2441" s="13" t="s">
        <v>400</v>
      </c>
      <c r="D2441" s="14" t="s">
        <v>250</v>
      </c>
      <c r="E2441" s="14" t="s">
        <v>250</v>
      </c>
      <c r="F2441" s="14" t="s">
        <v>250</v>
      </c>
      <c r="G2441" s="14">
        <v>0.974284193797331</v>
      </c>
      <c r="H2441" s="14">
        <v>2.6261147335347323</v>
      </c>
      <c r="I2441" s="14">
        <v>2.6261147335347323</v>
      </c>
      <c r="J2441" s="14">
        <v>0.41464969476864205</v>
      </c>
    </row>
    <row r="2442" spans="1:10" ht="15.75" x14ac:dyDescent="0.5">
      <c r="A2442" s="13" t="s">
        <v>365</v>
      </c>
      <c r="B2442" s="13" t="s">
        <v>405</v>
      </c>
      <c r="C2442" s="13" t="s">
        <v>400</v>
      </c>
      <c r="D2442" s="14">
        <v>1259.3891290889951</v>
      </c>
      <c r="E2442" s="14">
        <v>1460.6598971905873</v>
      </c>
      <c r="F2442" s="14">
        <v>1606.8861039244919</v>
      </c>
      <c r="G2442" s="14">
        <v>1798.5635035089249</v>
      </c>
      <c r="H2442" s="14">
        <v>1500.4445573384498</v>
      </c>
      <c r="I2442" s="14">
        <v>1117.8863248489083</v>
      </c>
      <c r="J2442" s="14">
        <v>1147.0662326303532</v>
      </c>
    </row>
    <row r="2443" spans="1:10" ht="15.75" x14ac:dyDescent="0.5">
      <c r="A2443" s="13" t="s">
        <v>365</v>
      </c>
      <c r="B2443" s="13" t="s">
        <v>406</v>
      </c>
      <c r="C2443" s="13" t="s">
        <v>400</v>
      </c>
      <c r="D2443" s="14">
        <v>23.479196814299325</v>
      </c>
      <c r="E2443" s="14">
        <v>31.478004677956413</v>
      </c>
      <c r="F2443" s="14">
        <v>41.746964584212286</v>
      </c>
      <c r="G2443" s="14">
        <v>41.964308661365337</v>
      </c>
      <c r="H2443" s="14">
        <v>38.641974644241223</v>
      </c>
      <c r="I2443" s="14">
        <v>34.443411423822596</v>
      </c>
      <c r="J2443" s="14">
        <v>32.242121436477753</v>
      </c>
    </row>
    <row r="2444" spans="1:10" ht="15.75" x14ac:dyDescent="0.5">
      <c r="A2444" s="13" t="s">
        <v>365</v>
      </c>
      <c r="B2444" s="13" t="s">
        <v>407</v>
      </c>
      <c r="C2444" s="13" t="s">
        <v>400</v>
      </c>
      <c r="D2444" s="14" t="s">
        <v>250</v>
      </c>
      <c r="E2444" s="14">
        <v>119.95173362892092</v>
      </c>
      <c r="F2444" s="14">
        <v>51.535530455641791</v>
      </c>
      <c r="G2444" s="14">
        <v>85.35887947963738</v>
      </c>
      <c r="H2444" s="14" t="s">
        <v>250</v>
      </c>
      <c r="I2444" s="14" t="s">
        <v>250</v>
      </c>
      <c r="J2444" s="14" t="s">
        <v>250</v>
      </c>
    </row>
    <row r="2445" spans="1:10" ht="15.75" x14ac:dyDescent="0.5">
      <c r="A2445" s="13" t="s">
        <v>365</v>
      </c>
      <c r="B2445" s="13" t="s">
        <v>408</v>
      </c>
      <c r="C2445" s="13" t="s">
        <v>400</v>
      </c>
      <c r="D2445" s="14">
        <v>46.892290321001227</v>
      </c>
      <c r="E2445" s="14">
        <v>29.658330053590657</v>
      </c>
      <c r="F2445" s="14">
        <v>22.253908299237473</v>
      </c>
      <c r="G2445" s="14">
        <v>28.264629959183441</v>
      </c>
      <c r="H2445" s="14">
        <v>26.981484390307827</v>
      </c>
      <c r="I2445" s="14">
        <v>22.863060963050476</v>
      </c>
      <c r="J2445" s="14">
        <v>19.931499123072925</v>
      </c>
    </row>
    <row r="2446" spans="1:10" ht="15.75" x14ac:dyDescent="0.5">
      <c r="A2446" s="13" t="s">
        <v>365</v>
      </c>
      <c r="B2446" s="13" t="s">
        <v>409</v>
      </c>
      <c r="C2446" s="13" t="s">
        <v>400</v>
      </c>
      <c r="D2446" s="14">
        <v>18.365704270000037</v>
      </c>
      <c r="E2446" s="14">
        <v>18.365704270000037</v>
      </c>
      <c r="F2446" s="14">
        <v>18.365704270000037</v>
      </c>
      <c r="G2446" s="14">
        <v>18.365704270000037</v>
      </c>
      <c r="H2446" s="14">
        <v>18.365704270000034</v>
      </c>
      <c r="I2446" s="14">
        <v>18.365704270000037</v>
      </c>
      <c r="J2446" s="14">
        <v>17.674442068306604</v>
      </c>
    </row>
    <row r="2447" spans="1:10" ht="15.75" x14ac:dyDescent="0.5">
      <c r="A2447" s="13" t="s">
        <v>365</v>
      </c>
      <c r="B2447" s="13" t="s">
        <v>410</v>
      </c>
      <c r="C2447" s="13" t="s">
        <v>400</v>
      </c>
      <c r="D2447" s="14">
        <v>245.79356253202212</v>
      </c>
      <c r="E2447" s="14">
        <v>244.62902255612559</v>
      </c>
      <c r="F2447" s="14">
        <v>245.72205056196793</v>
      </c>
      <c r="G2447" s="14">
        <v>246.16997594139093</v>
      </c>
      <c r="H2447" s="14">
        <v>246.10421681730341</v>
      </c>
      <c r="I2447" s="14">
        <v>246.00035470022311</v>
      </c>
      <c r="J2447" s="14">
        <v>246.15892045000413</v>
      </c>
    </row>
    <row r="2448" spans="1:10" ht="15.75" x14ac:dyDescent="0.5">
      <c r="A2448" s="13" t="s">
        <v>365</v>
      </c>
      <c r="B2448" s="13" t="s">
        <v>411</v>
      </c>
      <c r="C2448" s="13" t="s">
        <v>400</v>
      </c>
      <c r="D2448" s="14">
        <v>7.1394000000000153</v>
      </c>
      <c r="E2448" s="14">
        <v>3.5593489051094975</v>
      </c>
      <c r="F2448" s="14" t="s">
        <v>250</v>
      </c>
      <c r="G2448" s="14" t="s">
        <v>250</v>
      </c>
      <c r="H2448" s="14" t="s">
        <v>250</v>
      </c>
      <c r="I2448" s="14" t="s">
        <v>250</v>
      </c>
      <c r="J2448" s="14" t="s">
        <v>250</v>
      </c>
    </row>
    <row r="2449" spans="1:10" ht="15.75" x14ac:dyDescent="0.5">
      <c r="A2449" s="13" t="s">
        <v>365</v>
      </c>
      <c r="B2449" s="13" t="s">
        <v>412</v>
      </c>
      <c r="C2449" s="13" t="s">
        <v>400</v>
      </c>
      <c r="D2449" s="14">
        <v>760.72545968400175</v>
      </c>
      <c r="E2449" s="14">
        <v>743.87967252220324</v>
      </c>
      <c r="F2449" s="14">
        <v>509.69301328953139</v>
      </c>
      <c r="G2449" s="14">
        <v>557.83472983923309</v>
      </c>
      <c r="H2449" s="14">
        <v>53.945562124588676</v>
      </c>
      <c r="I2449" s="14" t="s">
        <v>250</v>
      </c>
      <c r="J2449" s="14" t="s">
        <v>250</v>
      </c>
    </row>
    <row r="2450" spans="1:10" ht="15.75" x14ac:dyDescent="0.5">
      <c r="A2450" s="13" t="s">
        <v>365</v>
      </c>
      <c r="B2450" s="13" t="s">
        <v>413</v>
      </c>
      <c r="C2450" s="13" t="s">
        <v>400</v>
      </c>
      <c r="D2450" s="14">
        <v>23.70292761988614</v>
      </c>
      <c r="E2450" s="14">
        <v>26.214948429950581</v>
      </c>
      <c r="F2450" s="14">
        <v>10.719857406142193</v>
      </c>
      <c r="G2450" s="14">
        <v>6.9990341710262918</v>
      </c>
      <c r="H2450" s="14">
        <v>2.3572487302537284</v>
      </c>
      <c r="I2450" s="14">
        <v>3.8093722121604223</v>
      </c>
      <c r="J2450" s="14">
        <v>4.1041939570533472</v>
      </c>
    </row>
    <row r="2451" spans="1:10" ht="15.75" x14ac:dyDescent="0.5">
      <c r="A2451" s="13" t="s">
        <v>365</v>
      </c>
      <c r="B2451" s="13" t="s">
        <v>414</v>
      </c>
      <c r="C2451" s="13" t="s">
        <v>400</v>
      </c>
      <c r="D2451" s="14">
        <v>0.6803907705109502</v>
      </c>
      <c r="E2451" s="14">
        <v>24.434347310897387</v>
      </c>
      <c r="F2451" s="14">
        <v>100.51306424062297</v>
      </c>
      <c r="G2451" s="14">
        <v>206.73002280541371</v>
      </c>
      <c r="H2451" s="14">
        <v>253.14906596102733</v>
      </c>
      <c r="I2451" s="14">
        <v>254.66786488217909</v>
      </c>
      <c r="J2451" s="14">
        <v>255.84390998255452</v>
      </c>
    </row>
    <row r="2452" spans="1:10" ht="15.75" x14ac:dyDescent="0.5">
      <c r="A2452" s="13" t="s">
        <v>365</v>
      </c>
      <c r="B2452" s="13" t="s">
        <v>415</v>
      </c>
      <c r="C2452" s="13" t="s">
        <v>400</v>
      </c>
      <c r="D2452" s="14">
        <v>440.53124483255561</v>
      </c>
      <c r="E2452" s="14">
        <v>873.81161801124654</v>
      </c>
      <c r="F2452" s="14">
        <v>1354.084461565255</v>
      </c>
      <c r="G2452" s="14">
        <v>1409.8801204091624</v>
      </c>
      <c r="H2452" s="14">
        <v>2127.0195826778463</v>
      </c>
      <c r="I2452" s="14">
        <v>3349.0274867704047</v>
      </c>
      <c r="J2452" s="14">
        <v>3384.6343093762762</v>
      </c>
    </row>
    <row r="2453" spans="1:10" ht="15.75" x14ac:dyDescent="0.5">
      <c r="A2453" s="13" t="s">
        <v>365</v>
      </c>
      <c r="B2453" s="13" t="s">
        <v>416</v>
      </c>
      <c r="C2453" s="13" t="s">
        <v>400</v>
      </c>
      <c r="D2453" s="14" t="s">
        <v>250</v>
      </c>
      <c r="E2453" s="14">
        <v>70.934498682900738</v>
      </c>
      <c r="F2453" s="14">
        <v>100.19546122793699</v>
      </c>
      <c r="G2453" s="14">
        <v>127.69344447727372</v>
      </c>
      <c r="H2453" s="14">
        <v>145.88323771792346</v>
      </c>
      <c r="I2453" s="14">
        <v>165.77906731373221</v>
      </c>
      <c r="J2453" s="14">
        <v>186.2865730549081</v>
      </c>
    </row>
    <row r="2454" spans="1:10" ht="15.75" x14ac:dyDescent="0.5">
      <c r="A2454" s="13" t="s">
        <v>365</v>
      </c>
      <c r="B2454" s="13" t="s">
        <v>417</v>
      </c>
      <c r="C2454" s="13" t="s">
        <v>400</v>
      </c>
      <c r="D2454" s="14">
        <v>187.48709633408691</v>
      </c>
      <c r="E2454" s="14">
        <v>298.36286233429837</v>
      </c>
      <c r="F2454" s="14">
        <v>339.94935565504699</v>
      </c>
      <c r="G2454" s="14">
        <v>935.71284209529153</v>
      </c>
      <c r="H2454" s="14">
        <v>2771.9867017597048</v>
      </c>
      <c r="I2454" s="14">
        <v>3864.3877342373885</v>
      </c>
      <c r="J2454" s="14">
        <v>3937.810365228072</v>
      </c>
    </row>
    <row r="2455" spans="1:10" ht="15.75" x14ac:dyDescent="0.5">
      <c r="A2455" s="13" t="s">
        <v>365</v>
      </c>
      <c r="B2455" s="13" t="s">
        <v>418</v>
      </c>
      <c r="C2455" s="13" t="s">
        <v>400</v>
      </c>
      <c r="D2455" s="14">
        <v>3.1841751731019534</v>
      </c>
      <c r="E2455" s="14">
        <v>3.1841751731019539</v>
      </c>
      <c r="F2455" s="14">
        <v>3.1841751731019534</v>
      </c>
      <c r="G2455" s="14">
        <v>3.184175173101953</v>
      </c>
      <c r="H2455" s="14">
        <v>3.1841751731019534</v>
      </c>
      <c r="I2455" s="14">
        <v>3.1841751731019534</v>
      </c>
      <c r="J2455" s="14">
        <v>3.1841751731019539</v>
      </c>
    </row>
    <row r="2456" spans="1:10" ht="15.75" x14ac:dyDescent="0.5">
      <c r="A2456" s="13" t="s">
        <v>365</v>
      </c>
      <c r="B2456" s="13" t="s">
        <v>419</v>
      </c>
      <c r="C2456" s="13" t="s">
        <v>400</v>
      </c>
      <c r="D2456" s="14">
        <v>0.54465920264079504</v>
      </c>
      <c r="E2456" s="14">
        <v>8.6123773979004046</v>
      </c>
      <c r="F2456" s="14">
        <v>58.530185640422104</v>
      </c>
      <c r="G2456" s="14">
        <v>158.05237129804163</v>
      </c>
      <c r="H2456" s="14">
        <v>964.99717796622542</v>
      </c>
      <c r="I2456" s="14">
        <v>1858.6046623780924</v>
      </c>
      <c r="J2456" s="14">
        <v>2022.9416229052001</v>
      </c>
    </row>
    <row r="2457" spans="1:10" ht="15.75" x14ac:dyDescent="0.5">
      <c r="A2457" s="13" t="s">
        <v>365</v>
      </c>
      <c r="B2457" s="13" t="s">
        <v>420</v>
      </c>
      <c r="C2457" s="13" t="s">
        <v>400</v>
      </c>
      <c r="D2457" s="14">
        <v>-13.9872529578084</v>
      </c>
      <c r="E2457" s="14">
        <v>-13.462355422426974</v>
      </c>
      <c r="F2457" s="14">
        <v>-12.286383654893006</v>
      </c>
      <c r="G2457" s="14">
        <v>-11.541734871917299</v>
      </c>
      <c r="H2457" s="14">
        <v>-12.988721900628187</v>
      </c>
      <c r="I2457" s="14">
        <v>-16.095516529641216</v>
      </c>
      <c r="J2457" s="14">
        <v>-20.228636326787594</v>
      </c>
    </row>
    <row r="2458" spans="1:10" ht="15.75" x14ac:dyDescent="0.5">
      <c r="A2458" s="13" t="s">
        <v>366</v>
      </c>
      <c r="B2458" s="13" t="s">
        <v>399</v>
      </c>
      <c r="C2458" s="13" t="s">
        <v>400</v>
      </c>
      <c r="D2458" s="14">
        <v>7.2499064625597898</v>
      </c>
      <c r="E2458" s="14">
        <v>6.7029297896167683E-2</v>
      </c>
      <c r="F2458" s="14">
        <v>0.51246000000000103</v>
      </c>
      <c r="G2458" s="14">
        <v>3.2400000000000007E-3</v>
      </c>
      <c r="H2458" s="14" t="s">
        <v>250</v>
      </c>
      <c r="I2458" s="14" t="s">
        <v>250</v>
      </c>
      <c r="J2458" s="14">
        <v>0.16961422550858302</v>
      </c>
    </row>
    <row r="2459" spans="1:10" ht="15.75" x14ac:dyDescent="0.5">
      <c r="A2459" s="13" t="s">
        <v>366</v>
      </c>
      <c r="B2459" s="13" t="s">
        <v>401</v>
      </c>
      <c r="C2459" s="13" t="s">
        <v>400</v>
      </c>
      <c r="D2459" s="14" t="s">
        <v>250</v>
      </c>
      <c r="E2459" s="14" t="s">
        <v>250</v>
      </c>
      <c r="F2459" s="14">
        <v>90.701386807813975</v>
      </c>
      <c r="G2459" s="14">
        <v>90.701386807813918</v>
      </c>
      <c r="H2459" s="14">
        <v>4.2714752025526241</v>
      </c>
      <c r="I2459" s="14" t="s">
        <v>250</v>
      </c>
      <c r="J2459" s="14" t="s">
        <v>250</v>
      </c>
    </row>
    <row r="2460" spans="1:10" ht="15.75" x14ac:dyDescent="0.5">
      <c r="A2460" s="13" t="s">
        <v>366</v>
      </c>
      <c r="B2460" s="13" t="s">
        <v>402</v>
      </c>
      <c r="C2460" s="13" t="s">
        <v>400</v>
      </c>
      <c r="D2460" s="14">
        <v>1072.9916742877467</v>
      </c>
      <c r="E2460" s="14">
        <v>273.90499112665606</v>
      </c>
      <c r="F2460" s="14">
        <v>151.51251994083523</v>
      </c>
      <c r="G2460" s="14">
        <v>157.62883499550571</v>
      </c>
      <c r="H2460" s="14">
        <v>101.90390573466588</v>
      </c>
      <c r="I2460" s="14">
        <v>40.055714912517139</v>
      </c>
      <c r="J2460" s="14">
        <v>38.980305020432326</v>
      </c>
    </row>
    <row r="2461" spans="1:10" ht="15.75" x14ac:dyDescent="0.5">
      <c r="A2461" s="13" t="s">
        <v>366</v>
      </c>
      <c r="B2461" s="13" t="s">
        <v>403</v>
      </c>
      <c r="C2461" s="13" t="s">
        <v>400</v>
      </c>
      <c r="D2461" s="14" t="s">
        <v>250</v>
      </c>
      <c r="E2461" s="14" t="s">
        <v>250</v>
      </c>
      <c r="F2461" s="14">
        <v>57.016515806365398</v>
      </c>
      <c r="G2461" s="14">
        <v>57.016515806365355</v>
      </c>
      <c r="H2461" s="14">
        <v>11.540534181345038</v>
      </c>
      <c r="I2461" s="14">
        <v>11.540534181345038</v>
      </c>
      <c r="J2461" s="14" t="s">
        <v>250</v>
      </c>
    </row>
    <row r="2462" spans="1:10" ht="15.75" x14ac:dyDescent="0.5">
      <c r="A2462" s="13" t="s">
        <v>366</v>
      </c>
      <c r="B2462" s="13" t="s">
        <v>421</v>
      </c>
      <c r="C2462" s="13" t="s">
        <v>400</v>
      </c>
      <c r="D2462" s="14" t="s">
        <v>250</v>
      </c>
      <c r="E2462" s="14" t="s">
        <v>250</v>
      </c>
      <c r="F2462" s="14" t="s">
        <v>250</v>
      </c>
      <c r="G2462" s="14">
        <v>179.58065808601643</v>
      </c>
      <c r="H2462" s="14">
        <v>484.05165699737489</v>
      </c>
      <c r="I2462" s="14">
        <v>479.97391792017947</v>
      </c>
      <c r="J2462" s="14">
        <v>76.429208999585541</v>
      </c>
    </row>
    <row r="2463" spans="1:10" ht="15.75" x14ac:dyDescent="0.5">
      <c r="A2463" s="13" t="s">
        <v>366</v>
      </c>
      <c r="B2463" s="13" t="s">
        <v>405</v>
      </c>
      <c r="C2463" s="13" t="s">
        <v>400</v>
      </c>
      <c r="D2463" s="14">
        <v>1259.3891290889935</v>
      </c>
      <c r="E2463" s="14">
        <v>1461.6796779165747</v>
      </c>
      <c r="F2463" s="14">
        <v>1568.4292336791248</v>
      </c>
      <c r="G2463" s="14">
        <v>1624.5634622243019</v>
      </c>
      <c r="H2463" s="14">
        <v>1168.1374564801563</v>
      </c>
      <c r="I2463" s="14">
        <v>815.53580672427313</v>
      </c>
      <c r="J2463" s="14">
        <v>1139.2124942605958</v>
      </c>
    </row>
    <row r="2464" spans="1:10" ht="15.75" x14ac:dyDescent="0.5">
      <c r="A2464" s="13" t="s">
        <v>366</v>
      </c>
      <c r="B2464" s="13" t="s">
        <v>406</v>
      </c>
      <c r="C2464" s="13" t="s">
        <v>400</v>
      </c>
      <c r="D2464" s="14">
        <v>23.479196814299332</v>
      </c>
      <c r="E2464" s="14">
        <v>32.062068265347065</v>
      </c>
      <c r="F2464" s="14">
        <v>43.296040659863863</v>
      </c>
      <c r="G2464" s="14">
        <v>41.905826117857082</v>
      </c>
      <c r="H2464" s="14">
        <v>38.56294837783345</v>
      </c>
      <c r="I2464" s="14">
        <v>34.074557956931919</v>
      </c>
      <c r="J2464" s="14">
        <v>31.285591420397274</v>
      </c>
    </row>
    <row r="2465" spans="1:10" ht="15.75" x14ac:dyDescent="0.5">
      <c r="A2465" s="13" t="s">
        <v>366</v>
      </c>
      <c r="B2465" s="13" t="s">
        <v>407</v>
      </c>
      <c r="C2465" s="13" t="s">
        <v>400</v>
      </c>
      <c r="D2465" s="14" t="s">
        <v>250</v>
      </c>
      <c r="E2465" s="14">
        <v>117.87628326254134</v>
      </c>
      <c r="F2465" s="14">
        <v>52.925743510176936</v>
      </c>
      <c r="G2465" s="14">
        <v>83.450123086343694</v>
      </c>
      <c r="H2465" s="14" t="s">
        <v>250</v>
      </c>
      <c r="I2465" s="14" t="s">
        <v>250</v>
      </c>
      <c r="J2465" s="14" t="s">
        <v>250</v>
      </c>
    </row>
    <row r="2466" spans="1:10" ht="15.75" x14ac:dyDescent="0.5">
      <c r="A2466" s="13" t="s">
        <v>366</v>
      </c>
      <c r="B2466" s="13" t="s">
        <v>408</v>
      </c>
      <c r="C2466" s="13" t="s">
        <v>400</v>
      </c>
      <c r="D2466" s="14">
        <v>46.892290321001241</v>
      </c>
      <c r="E2466" s="14">
        <v>29.608954044332059</v>
      </c>
      <c r="F2466" s="14">
        <v>22.408131427698706</v>
      </c>
      <c r="G2466" s="14">
        <v>27.54324458873646</v>
      </c>
      <c r="H2466" s="14">
        <v>25.485175474031863</v>
      </c>
      <c r="I2466" s="14">
        <v>17.391600492183798</v>
      </c>
      <c r="J2466" s="14">
        <v>22.220717229283515</v>
      </c>
    </row>
    <row r="2467" spans="1:10" ht="15.75" x14ac:dyDescent="0.5">
      <c r="A2467" s="13" t="s">
        <v>366</v>
      </c>
      <c r="B2467" s="13" t="s">
        <v>409</v>
      </c>
      <c r="C2467" s="13" t="s">
        <v>400</v>
      </c>
      <c r="D2467" s="14">
        <v>18.365704270000034</v>
      </c>
      <c r="E2467" s="14">
        <v>18.365704270000034</v>
      </c>
      <c r="F2467" s="14">
        <v>18.36570427000003</v>
      </c>
      <c r="G2467" s="14">
        <v>18.365704270000037</v>
      </c>
      <c r="H2467" s="14">
        <v>18.365704270000041</v>
      </c>
      <c r="I2467" s="14">
        <v>18.365704270000037</v>
      </c>
      <c r="J2467" s="14">
        <v>17.674442068306607</v>
      </c>
    </row>
    <row r="2468" spans="1:10" ht="15.75" x14ac:dyDescent="0.5">
      <c r="A2468" s="13" t="s">
        <v>366</v>
      </c>
      <c r="B2468" s="13" t="s">
        <v>410</v>
      </c>
      <c r="C2468" s="13" t="s">
        <v>400</v>
      </c>
      <c r="D2468" s="14">
        <v>245.79356253202218</v>
      </c>
      <c r="E2468" s="14">
        <v>244.62418406371009</v>
      </c>
      <c r="F2468" s="14">
        <v>245.73451800625074</v>
      </c>
      <c r="G2468" s="14">
        <v>246.16997594139096</v>
      </c>
      <c r="H2468" s="14">
        <v>246.16997594139087</v>
      </c>
      <c r="I2468" s="14">
        <v>246.00035470022317</v>
      </c>
      <c r="J2468" s="14">
        <v>246.16997594139102</v>
      </c>
    </row>
    <row r="2469" spans="1:10" ht="15.75" x14ac:dyDescent="0.5">
      <c r="A2469" s="13" t="s">
        <v>366</v>
      </c>
      <c r="B2469" s="13" t="s">
        <v>411</v>
      </c>
      <c r="C2469" s="13" t="s">
        <v>400</v>
      </c>
      <c r="D2469" s="14">
        <v>7.1394000000000171</v>
      </c>
      <c r="E2469" s="14">
        <v>3.559348905109498</v>
      </c>
      <c r="F2469" s="14" t="s">
        <v>250</v>
      </c>
      <c r="G2469" s="14" t="s">
        <v>250</v>
      </c>
      <c r="H2469" s="14" t="s">
        <v>250</v>
      </c>
      <c r="I2469" s="14" t="s">
        <v>250</v>
      </c>
      <c r="J2469" s="14" t="s">
        <v>250</v>
      </c>
    </row>
    <row r="2470" spans="1:10" ht="15.75" x14ac:dyDescent="0.5">
      <c r="A2470" s="13" t="s">
        <v>366</v>
      </c>
      <c r="B2470" s="13" t="s">
        <v>412</v>
      </c>
      <c r="C2470" s="13" t="s">
        <v>400</v>
      </c>
      <c r="D2470" s="14">
        <v>760.72545968400198</v>
      </c>
      <c r="E2470" s="14">
        <v>743.70684540016475</v>
      </c>
      <c r="F2470" s="14">
        <v>544.9076826996818</v>
      </c>
      <c r="G2470" s="14">
        <v>590.24341503483242</v>
      </c>
      <c r="H2470" s="14">
        <v>47.830234684262436</v>
      </c>
      <c r="I2470" s="14" t="s">
        <v>250</v>
      </c>
      <c r="J2470" s="14" t="s">
        <v>250</v>
      </c>
    </row>
    <row r="2471" spans="1:10" ht="15.75" x14ac:dyDescent="0.5">
      <c r="A2471" s="13" t="s">
        <v>366</v>
      </c>
      <c r="B2471" s="13" t="s">
        <v>413</v>
      </c>
      <c r="C2471" s="13" t="s">
        <v>400</v>
      </c>
      <c r="D2471" s="14">
        <v>23.70292761988614</v>
      </c>
      <c r="E2471" s="14">
        <v>26.133354713658754</v>
      </c>
      <c r="F2471" s="14">
        <v>11.218759282800328</v>
      </c>
      <c r="G2471" s="14">
        <v>6.6436757441874175</v>
      </c>
      <c r="H2471" s="14">
        <v>1.7028590125771061</v>
      </c>
      <c r="I2471" s="14">
        <v>1.9050068126450752</v>
      </c>
      <c r="J2471" s="14">
        <v>3.7880098219952223</v>
      </c>
    </row>
    <row r="2472" spans="1:10" ht="15.75" x14ac:dyDescent="0.5">
      <c r="A2472" s="13" t="s">
        <v>366</v>
      </c>
      <c r="B2472" s="13" t="s">
        <v>414</v>
      </c>
      <c r="C2472" s="13" t="s">
        <v>400</v>
      </c>
      <c r="D2472" s="14">
        <v>0.68039077051095032</v>
      </c>
      <c r="E2472" s="14">
        <v>24.426397150733411</v>
      </c>
      <c r="F2472" s="14">
        <v>100.46311540337474</v>
      </c>
      <c r="G2472" s="14">
        <v>206.65368467840898</v>
      </c>
      <c r="H2472" s="14">
        <v>253.07204377454323</v>
      </c>
      <c r="I2472" s="14">
        <v>254.5903332896998</v>
      </c>
      <c r="J2472" s="14">
        <v>255.76598541973596</v>
      </c>
    </row>
    <row r="2473" spans="1:10" ht="15.75" x14ac:dyDescent="0.5">
      <c r="A2473" s="13" t="s">
        <v>366</v>
      </c>
      <c r="B2473" s="13" t="s">
        <v>415</v>
      </c>
      <c r="C2473" s="13" t="s">
        <v>400</v>
      </c>
      <c r="D2473" s="14">
        <v>440.5312448325555</v>
      </c>
      <c r="E2473" s="14">
        <v>873.95357024637565</v>
      </c>
      <c r="F2473" s="14">
        <v>1354.3536140729511</v>
      </c>
      <c r="G2473" s="14">
        <v>1407.9547906260118</v>
      </c>
      <c r="H2473" s="14">
        <v>2102.5497949131618</v>
      </c>
      <c r="I2473" s="14">
        <v>3305.6025745092911</v>
      </c>
      <c r="J2473" s="14">
        <v>3366.0126293960407</v>
      </c>
    </row>
    <row r="2474" spans="1:10" ht="15.75" x14ac:dyDescent="0.5">
      <c r="A2474" s="13" t="s">
        <v>366</v>
      </c>
      <c r="B2474" s="13" t="s">
        <v>416</v>
      </c>
      <c r="C2474" s="13" t="s">
        <v>400</v>
      </c>
      <c r="D2474" s="14" t="s">
        <v>250</v>
      </c>
      <c r="E2474" s="14">
        <v>70.934498682900724</v>
      </c>
      <c r="F2474" s="14">
        <v>100.19546122793697</v>
      </c>
      <c r="G2474" s="14">
        <v>127.69344447727373</v>
      </c>
      <c r="H2474" s="14">
        <v>145.88323771792341</v>
      </c>
      <c r="I2474" s="14">
        <v>165.77906731373227</v>
      </c>
      <c r="J2474" s="14">
        <v>186.28657305490802</v>
      </c>
    </row>
    <row r="2475" spans="1:10" ht="15.75" x14ac:dyDescent="0.5">
      <c r="A2475" s="13" t="s">
        <v>366</v>
      </c>
      <c r="B2475" s="13" t="s">
        <v>417</v>
      </c>
      <c r="C2475" s="13" t="s">
        <v>400</v>
      </c>
      <c r="D2475" s="14">
        <v>187.48709633408686</v>
      </c>
      <c r="E2475" s="14">
        <v>298.36286233429843</v>
      </c>
      <c r="F2475" s="14">
        <v>339.94935565504687</v>
      </c>
      <c r="G2475" s="14">
        <v>907.92749323343446</v>
      </c>
      <c r="H2475" s="14">
        <v>2677.2470218733229</v>
      </c>
      <c r="I2475" s="14">
        <v>3791.5214112188437</v>
      </c>
      <c r="J2475" s="14">
        <v>3877.2153647022838</v>
      </c>
    </row>
    <row r="2476" spans="1:10" ht="15.75" x14ac:dyDescent="0.5">
      <c r="A2476" s="13" t="s">
        <v>366</v>
      </c>
      <c r="B2476" s="13" t="s">
        <v>418</v>
      </c>
      <c r="C2476" s="13" t="s">
        <v>400</v>
      </c>
      <c r="D2476" s="14">
        <v>3.1841751731019534</v>
      </c>
      <c r="E2476" s="14">
        <v>3.1841751731019534</v>
      </c>
      <c r="F2476" s="14">
        <v>3.184175173101953</v>
      </c>
      <c r="G2476" s="14">
        <v>3.184175173101953</v>
      </c>
      <c r="H2476" s="14">
        <v>3.1841751731019539</v>
      </c>
      <c r="I2476" s="14">
        <v>3.184175173101953</v>
      </c>
      <c r="J2476" s="14">
        <v>3.184175173101953</v>
      </c>
    </row>
    <row r="2477" spans="1:10" ht="15.75" x14ac:dyDescent="0.5">
      <c r="A2477" s="13" t="s">
        <v>366</v>
      </c>
      <c r="B2477" s="13" t="s">
        <v>419</v>
      </c>
      <c r="C2477" s="13" t="s">
        <v>400</v>
      </c>
      <c r="D2477" s="14">
        <v>0.54465920264079493</v>
      </c>
      <c r="E2477" s="14">
        <v>8.6661965321099821</v>
      </c>
      <c r="F2477" s="14">
        <v>62.672100148651111</v>
      </c>
      <c r="G2477" s="14">
        <v>150.62208110894508</v>
      </c>
      <c r="H2477" s="14">
        <v>872.82903118086108</v>
      </c>
      <c r="I2477" s="14">
        <v>1702.5848733510111</v>
      </c>
      <c r="J2477" s="14">
        <v>1943.6596725163547</v>
      </c>
    </row>
    <row r="2478" spans="1:10" ht="15.75" x14ac:dyDescent="0.5">
      <c r="A2478" s="13" t="s">
        <v>366</v>
      </c>
      <c r="B2478" s="13" t="s">
        <v>420</v>
      </c>
      <c r="C2478" s="13" t="s">
        <v>400</v>
      </c>
      <c r="D2478" s="14">
        <v>-13.987252957808375</v>
      </c>
      <c r="E2478" s="14">
        <v>-13.403504169684719</v>
      </c>
      <c r="F2478" s="14">
        <v>-12.320397717248721</v>
      </c>
      <c r="G2478" s="14">
        <v>-11.572139700663826</v>
      </c>
      <c r="H2478" s="14">
        <v>-13.19312424582079</v>
      </c>
      <c r="I2478" s="14">
        <v>-17.033096280870133</v>
      </c>
      <c r="J2478" s="14">
        <v>-19.688478181835848</v>
      </c>
    </row>
    <row r="2479" spans="1:10" ht="15.75" x14ac:dyDescent="0.5">
      <c r="A2479" s="13" t="s">
        <v>367</v>
      </c>
      <c r="B2479" s="13" t="s">
        <v>399</v>
      </c>
      <c r="C2479" s="13" t="s">
        <v>400</v>
      </c>
      <c r="D2479" s="14">
        <v>7.249906462559788</v>
      </c>
      <c r="E2479" s="14">
        <v>6.702929789616785E-2</v>
      </c>
      <c r="F2479" s="14">
        <v>0.51246000000000114</v>
      </c>
      <c r="G2479" s="14">
        <v>3.2400000000000007E-3</v>
      </c>
      <c r="H2479" s="14" t="s">
        <v>250</v>
      </c>
      <c r="I2479" s="14" t="s">
        <v>250</v>
      </c>
      <c r="J2479" s="14">
        <v>0.16962735220719741</v>
      </c>
    </row>
    <row r="2480" spans="1:10" ht="15.75" x14ac:dyDescent="0.5">
      <c r="A2480" s="13" t="s">
        <v>367</v>
      </c>
      <c r="B2480" s="13" t="s">
        <v>401</v>
      </c>
      <c r="C2480" s="13" t="s">
        <v>400</v>
      </c>
      <c r="D2480" s="14" t="s">
        <v>250</v>
      </c>
      <c r="E2480" s="14" t="s">
        <v>250</v>
      </c>
      <c r="F2480" s="14">
        <v>90.701386633765239</v>
      </c>
      <c r="G2480" s="14">
        <v>90.701386633765239</v>
      </c>
      <c r="H2480" s="14">
        <v>4.271475206964376</v>
      </c>
      <c r="I2480" s="14" t="s">
        <v>250</v>
      </c>
      <c r="J2480" s="14" t="s">
        <v>250</v>
      </c>
    </row>
    <row r="2481" spans="1:10" ht="15.75" x14ac:dyDescent="0.5">
      <c r="A2481" s="13" t="s">
        <v>367</v>
      </c>
      <c r="B2481" s="13" t="s">
        <v>402</v>
      </c>
      <c r="C2481" s="13" t="s">
        <v>400</v>
      </c>
      <c r="D2481" s="14">
        <v>1072.9916742877465</v>
      </c>
      <c r="E2481" s="14">
        <v>273.90498628960012</v>
      </c>
      <c r="F2481" s="14">
        <v>151.51251085620288</v>
      </c>
      <c r="G2481" s="14">
        <v>157.62883178229092</v>
      </c>
      <c r="H2481" s="14">
        <v>101.90392523809204</v>
      </c>
      <c r="I2481" s="14">
        <v>40.055672424840729</v>
      </c>
      <c r="J2481" s="14">
        <v>38.980292567606561</v>
      </c>
    </row>
    <row r="2482" spans="1:10" ht="15.75" x14ac:dyDescent="0.5">
      <c r="A2482" s="13" t="s">
        <v>367</v>
      </c>
      <c r="B2482" s="13" t="s">
        <v>403</v>
      </c>
      <c r="C2482" s="13" t="s">
        <v>400</v>
      </c>
      <c r="D2482" s="14" t="s">
        <v>250</v>
      </c>
      <c r="E2482" s="14" t="s">
        <v>250</v>
      </c>
      <c r="F2482" s="14">
        <v>57.016515806365355</v>
      </c>
      <c r="G2482" s="14">
        <v>57.016515806365376</v>
      </c>
      <c r="H2482" s="14">
        <v>11.540534181345041</v>
      </c>
      <c r="I2482" s="14">
        <v>11.540534181345041</v>
      </c>
      <c r="J2482" s="14" t="s">
        <v>250</v>
      </c>
    </row>
    <row r="2483" spans="1:10" ht="15.75" x14ac:dyDescent="0.5">
      <c r="A2483" s="13" t="s">
        <v>367</v>
      </c>
      <c r="B2483" s="13" t="s">
        <v>421</v>
      </c>
      <c r="C2483" s="13" t="s">
        <v>400</v>
      </c>
      <c r="D2483" s="14" t="s">
        <v>250</v>
      </c>
      <c r="E2483" s="14" t="s">
        <v>250</v>
      </c>
      <c r="F2483" s="14" t="s">
        <v>250</v>
      </c>
      <c r="G2483" s="14">
        <v>179.5806447550012</v>
      </c>
      <c r="H2483" s="14">
        <v>484.05162106455805</v>
      </c>
      <c r="I2483" s="14">
        <v>479.97388124663433</v>
      </c>
      <c r="J2483" s="14">
        <v>76.429203325982854</v>
      </c>
    </row>
    <row r="2484" spans="1:10" ht="15.75" x14ac:dyDescent="0.5">
      <c r="A2484" s="13" t="s">
        <v>367</v>
      </c>
      <c r="B2484" s="13" t="s">
        <v>405</v>
      </c>
      <c r="C2484" s="13" t="s">
        <v>400</v>
      </c>
      <c r="D2484" s="14">
        <v>1259.3891290889937</v>
      </c>
      <c r="E2484" s="14">
        <v>1461.6796769979376</v>
      </c>
      <c r="F2484" s="14">
        <v>1568.429230154494</v>
      </c>
      <c r="G2484" s="14">
        <v>1624.5634551649084</v>
      </c>
      <c r="H2484" s="14">
        <v>1168.137461776508</v>
      </c>
      <c r="I2484" s="14">
        <v>815.53584049840538</v>
      </c>
      <c r="J2484" s="14">
        <v>1139.2124304667216</v>
      </c>
    </row>
    <row r="2485" spans="1:10" ht="15.75" x14ac:dyDescent="0.5">
      <c r="A2485" s="13" t="s">
        <v>367</v>
      </c>
      <c r="B2485" s="13" t="s">
        <v>406</v>
      </c>
      <c r="C2485" s="13" t="s">
        <v>400</v>
      </c>
      <c r="D2485" s="14">
        <v>23.479196814299335</v>
      </c>
      <c r="E2485" s="14">
        <v>32.062068615279912</v>
      </c>
      <c r="F2485" s="14">
        <v>43.296040973355005</v>
      </c>
      <c r="G2485" s="14">
        <v>41.905826158421959</v>
      </c>
      <c r="H2485" s="14">
        <v>38.56294795470594</v>
      </c>
      <c r="I2485" s="14">
        <v>34.074558150930443</v>
      </c>
      <c r="J2485" s="14">
        <v>31.28559161399065</v>
      </c>
    </row>
    <row r="2486" spans="1:10" ht="15.75" x14ac:dyDescent="0.5">
      <c r="A2486" s="13" t="s">
        <v>367</v>
      </c>
      <c r="B2486" s="13" t="s">
        <v>407</v>
      </c>
      <c r="C2486" s="13" t="s">
        <v>400</v>
      </c>
      <c r="D2486" s="14" t="s">
        <v>250</v>
      </c>
      <c r="E2486" s="14">
        <v>117.87628628170211</v>
      </c>
      <c r="F2486" s="14">
        <v>52.925743510176922</v>
      </c>
      <c r="G2486" s="14">
        <v>83.450121700939846</v>
      </c>
      <c r="H2486" s="14" t="s">
        <v>250</v>
      </c>
      <c r="I2486" s="14" t="s">
        <v>250</v>
      </c>
      <c r="J2486" s="14" t="s">
        <v>250</v>
      </c>
    </row>
    <row r="2487" spans="1:10" ht="15.75" x14ac:dyDescent="0.5">
      <c r="A2487" s="13" t="s">
        <v>367</v>
      </c>
      <c r="B2487" s="13" t="s">
        <v>408</v>
      </c>
      <c r="C2487" s="13" t="s">
        <v>400</v>
      </c>
      <c r="D2487" s="14">
        <v>46.892290321001205</v>
      </c>
      <c r="E2487" s="14">
        <v>29.608954151330472</v>
      </c>
      <c r="F2487" s="14">
        <v>22.408132859566781</v>
      </c>
      <c r="G2487" s="14">
        <v>27.543245893766034</v>
      </c>
      <c r="H2487" s="14">
        <v>25.485176474321758</v>
      </c>
      <c r="I2487" s="14">
        <v>17.391600812167905</v>
      </c>
      <c r="J2487" s="14">
        <v>22.220717123224617</v>
      </c>
    </row>
    <row r="2488" spans="1:10" ht="15.75" x14ac:dyDescent="0.5">
      <c r="A2488" s="13" t="s">
        <v>367</v>
      </c>
      <c r="B2488" s="13" t="s">
        <v>409</v>
      </c>
      <c r="C2488" s="13" t="s">
        <v>400</v>
      </c>
      <c r="D2488" s="14">
        <v>18.365704270000037</v>
      </c>
      <c r="E2488" s="14">
        <v>18.36570427000003</v>
      </c>
      <c r="F2488" s="14">
        <v>18.365704270000034</v>
      </c>
      <c r="G2488" s="14">
        <v>18.365704270000037</v>
      </c>
      <c r="H2488" s="14">
        <v>18.365704270000034</v>
      </c>
      <c r="I2488" s="14">
        <v>18.365704270000034</v>
      </c>
      <c r="J2488" s="14">
        <v>17.674442068306604</v>
      </c>
    </row>
    <row r="2489" spans="1:10" ht="15.75" x14ac:dyDescent="0.5">
      <c r="A2489" s="13" t="s">
        <v>367</v>
      </c>
      <c r="B2489" s="13" t="s">
        <v>410</v>
      </c>
      <c r="C2489" s="13" t="s">
        <v>400</v>
      </c>
      <c r="D2489" s="14">
        <v>245.79356253202215</v>
      </c>
      <c r="E2489" s="14">
        <v>244.62418406371015</v>
      </c>
      <c r="F2489" s="14">
        <v>245.73451794108524</v>
      </c>
      <c r="G2489" s="14">
        <v>246.16997594139104</v>
      </c>
      <c r="H2489" s="14">
        <v>246.16997594139102</v>
      </c>
      <c r="I2489" s="14">
        <v>246.00035470022317</v>
      </c>
      <c r="J2489" s="14">
        <v>246.16997594139093</v>
      </c>
    </row>
    <row r="2490" spans="1:10" ht="15.75" x14ac:dyDescent="0.5">
      <c r="A2490" s="13" t="s">
        <v>367</v>
      </c>
      <c r="B2490" s="13" t="s">
        <v>411</v>
      </c>
      <c r="C2490" s="13" t="s">
        <v>400</v>
      </c>
      <c r="D2490" s="14">
        <v>7.1394000000000171</v>
      </c>
      <c r="E2490" s="14">
        <v>3.5593489051094966</v>
      </c>
      <c r="F2490" s="14" t="s">
        <v>250</v>
      </c>
      <c r="G2490" s="14" t="s">
        <v>250</v>
      </c>
      <c r="H2490" s="14" t="s">
        <v>250</v>
      </c>
      <c r="I2490" s="14" t="s">
        <v>250</v>
      </c>
      <c r="J2490" s="14" t="s">
        <v>250</v>
      </c>
    </row>
    <row r="2491" spans="1:10" ht="15.75" x14ac:dyDescent="0.5">
      <c r="A2491" s="13" t="s">
        <v>367</v>
      </c>
      <c r="B2491" s="13" t="s">
        <v>412</v>
      </c>
      <c r="C2491" s="13" t="s">
        <v>400</v>
      </c>
      <c r="D2491" s="14">
        <v>760.72545968400175</v>
      </c>
      <c r="E2491" s="14">
        <v>743.70684540016498</v>
      </c>
      <c r="F2491" s="14">
        <v>544.90769533680964</v>
      </c>
      <c r="G2491" s="14">
        <v>590.24342690345816</v>
      </c>
      <c r="H2491" s="14">
        <v>47.830238645166673</v>
      </c>
      <c r="I2491" s="14" t="s">
        <v>250</v>
      </c>
      <c r="J2491" s="14" t="s">
        <v>250</v>
      </c>
    </row>
    <row r="2492" spans="1:10" ht="15.75" x14ac:dyDescent="0.5">
      <c r="A2492" s="13" t="s">
        <v>367</v>
      </c>
      <c r="B2492" s="13" t="s">
        <v>413</v>
      </c>
      <c r="C2492" s="13" t="s">
        <v>400</v>
      </c>
      <c r="D2492" s="14">
        <v>23.702927619886136</v>
      </c>
      <c r="E2492" s="14">
        <v>26.133355621960469</v>
      </c>
      <c r="F2492" s="14">
        <v>11.218760098811222</v>
      </c>
      <c r="G2492" s="14">
        <v>6.6436777011235026</v>
      </c>
      <c r="H2492" s="14">
        <v>1.7028593940324357</v>
      </c>
      <c r="I2492" s="14">
        <v>1.9050069995610228</v>
      </c>
      <c r="J2492" s="14">
        <v>3.7880128965152497</v>
      </c>
    </row>
    <row r="2493" spans="1:10" ht="15.75" x14ac:dyDescent="0.5">
      <c r="A2493" s="13" t="s">
        <v>367</v>
      </c>
      <c r="B2493" s="13" t="s">
        <v>414</v>
      </c>
      <c r="C2493" s="13" t="s">
        <v>400</v>
      </c>
      <c r="D2493" s="14">
        <v>0.6803907705109502</v>
      </c>
      <c r="E2493" s="14">
        <v>24.426397150733408</v>
      </c>
      <c r="F2493" s="14">
        <v>100.46311532871691</v>
      </c>
      <c r="G2493" s="14">
        <v>206.65368447294321</v>
      </c>
      <c r="H2493" s="14">
        <v>253.07204356723634</v>
      </c>
      <c r="I2493" s="14">
        <v>254.59033308102178</v>
      </c>
      <c r="J2493" s="14">
        <v>255.76598521000031</v>
      </c>
    </row>
    <row r="2494" spans="1:10" ht="15.75" x14ac:dyDescent="0.5">
      <c r="A2494" s="13" t="s">
        <v>367</v>
      </c>
      <c r="B2494" s="13" t="s">
        <v>415</v>
      </c>
      <c r="C2494" s="13" t="s">
        <v>400</v>
      </c>
      <c r="D2494" s="14">
        <v>440.53124483255556</v>
      </c>
      <c r="E2494" s="14">
        <v>873.9535700298261</v>
      </c>
      <c r="F2494" s="14">
        <v>1354.3536138390277</v>
      </c>
      <c r="G2494" s="14">
        <v>1407.9547891126247</v>
      </c>
      <c r="H2494" s="14">
        <v>2102.5497740463634</v>
      </c>
      <c r="I2494" s="14">
        <v>3305.6025753745998</v>
      </c>
      <c r="J2494" s="14">
        <v>3366.0127106529203</v>
      </c>
    </row>
    <row r="2495" spans="1:10" ht="15.75" x14ac:dyDescent="0.5">
      <c r="A2495" s="13" t="s">
        <v>367</v>
      </c>
      <c r="B2495" s="13" t="s">
        <v>416</v>
      </c>
      <c r="C2495" s="13" t="s">
        <v>400</v>
      </c>
      <c r="D2495" s="14" t="s">
        <v>250</v>
      </c>
      <c r="E2495" s="14">
        <v>70.934498682900724</v>
      </c>
      <c r="F2495" s="14">
        <v>100.195461227937</v>
      </c>
      <c r="G2495" s="14">
        <v>127.69344447727377</v>
      </c>
      <c r="H2495" s="14">
        <v>145.88323771792335</v>
      </c>
      <c r="I2495" s="14">
        <v>165.7790673137323</v>
      </c>
      <c r="J2495" s="14">
        <v>186.2865730549081</v>
      </c>
    </row>
    <row r="2496" spans="1:10" ht="15.75" x14ac:dyDescent="0.5">
      <c r="A2496" s="13" t="s">
        <v>367</v>
      </c>
      <c r="B2496" s="13" t="s">
        <v>417</v>
      </c>
      <c r="C2496" s="13" t="s">
        <v>400</v>
      </c>
      <c r="D2496" s="14">
        <v>187.48709633408683</v>
      </c>
      <c r="E2496" s="14">
        <v>298.36286233429843</v>
      </c>
      <c r="F2496" s="14">
        <v>339.94935565504699</v>
      </c>
      <c r="G2496" s="14">
        <v>907.92750409437338</v>
      </c>
      <c r="H2496" s="14">
        <v>2677.2471065473947</v>
      </c>
      <c r="I2496" s="14">
        <v>3791.5213815263669</v>
      </c>
      <c r="J2496" s="14">
        <v>3877.2152997545368</v>
      </c>
    </row>
    <row r="2497" spans="1:10" ht="15.75" x14ac:dyDescent="0.5">
      <c r="A2497" s="13" t="s">
        <v>367</v>
      </c>
      <c r="B2497" s="13" t="s">
        <v>418</v>
      </c>
      <c r="C2497" s="13" t="s">
        <v>400</v>
      </c>
      <c r="D2497" s="14">
        <v>3.184175173101953</v>
      </c>
      <c r="E2497" s="14">
        <v>3.1841751731019539</v>
      </c>
      <c r="F2497" s="14">
        <v>3.184175173101953</v>
      </c>
      <c r="G2497" s="14">
        <v>3.1841751731019534</v>
      </c>
      <c r="H2497" s="14">
        <v>3.1841751731019534</v>
      </c>
      <c r="I2497" s="14">
        <v>3.184175173101953</v>
      </c>
      <c r="J2497" s="14">
        <v>3.1841751731019539</v>
      </c>
    </row>
    <row r="2498" spans="1:10" ht="15.75" x14ac:dyDescent="0.5">
      <c r="A2498" s="13" t="s">
        <v>367</v>
      </c>
      <c r="B2498" s="13" t="s">
        <v>419</v>
      </c>
      <c r="C2498" s="13" t="s">
        <v>400</v>
      </c>
      <c r="D2498" s="14">
        <v>0.54465920264079504</v>
      </c>
      <c r="E2498" s="14">
        <v>8.6661970021982881</v>
      </c>
      <c r="F2498" s="14">
        <v>62.672103357245007</v>
      </c>
      <c r="G2498" s="14">
        <v>150.62207493356814</v>
      </c>
      <c r="H2498" s="14">
        <v>872.76556956061995</v>
      </c>
      <c r="I2498" s="14">
        <v>1702.5212308511975</v>
      </c>
      <c r="J2498" s="14">
        <v>1943.6513604453585</v>
      </c>
    </row>
    <row r="2499" spans="1:10" ht="15.75" x14ac:dyDescent="0.5">
      <c r="A2499" s="13" t="s">
        <v>367</v>
      </c>
      <c r="B2499" s="13" t="s">
        <v>420</v>
      </c>
      <c r="C2499" s="13" t="s">
        <v>400</v>
      </c>
      <c r="D2499" s="14">
        <v>-13.98725295780843</v>
      </c>
      <c r="E2499" s="14">
        <v>-13.403504162517883</v>
      </c>
      <c r="F2499" s="14">
        <v>-12.321406086500259</v>
      </c>
      <c r="G2499" s="14">
        <v>-11.570867210583696</v>
      </c>
      <c r="H2499" s="14">
        <v>-13.192271004777695</v>
      </c>
      <c r="I2499" s="14">
        <v>-17.04091109011997</v>
      </c>
      <c r="J2499" s="14">
        <v>-19.689864153990072</v>
      </c>
    </row>
    <row r="2500" spans="1:10" ht="15.75" x14ac:dyDescent="0.5">
      <c r="A2500" s="13" t="s">
        <v>368</v>
      </c>
      <c r="B2500" s="13" t="s">
        <v>399</v>
      </c>
      <c r="C2500" s="13" t="s">
        <v>400</v>
      </c>
      <c r="D2500" s="14">
        <v>7.2499064625597889</v>
      </c>
      <c r="E2500" s="14">
        <v>6.7029297896172721E-2</v>
      </c>
      <c r="F2500" s="14">
        <v>0.51246000000000114</v>
      </c>
      <c r="G2500" s="14">
        <v>3.2400000000000007E-3</v>
      </c>
      <c r="H2500" s="14" t="s">
        <v>250</v>
      </c>
      <c r="I2500" s="14" t="s">
        <v>250</v>
      </c>
      <c r="J2500" s="14">
        <v>0.16961422612607718</v>
      </c>
    </row>
    <row r="2501" spans="1:10" ht="15.75" x14ac:dyDescent="0.5">
      <c r="A2501" s="13" t="s">
        <v>368</v>
      </c>
      <c r="B2501" s="13" t="s">
        <v>401</v>
      </c>
      <c r="C2501" s="13" t="s">
        <v>400</v>
      </c>
      <c r="D2501" s="14" t="s">
        <v>250</v>
      </c>
      <c r="E2501" s="14" t="s">
        <v>250</v>
      </c>
      <c r="F2501" s="14">
        <v>90.701386800954126</v>
      </c>
      <c r="G2501" s="14">
        <v>90.701386800954154</v>
      </c>
      <c r="H2501" s="14">
        <v>4.2714751903120431</v>
      </c>
      <c r="I2501" s="14" t="s">
        <v>250</v>
      </c>
      <c r="J2501" s="14" t="s">
        <v>250</v>
      </c>
    </row>
    <row r="2502" spans="1:10" ht="15.75" x14ac:dyDescent="0.5">
      <c r="A2502" s="13" t="s">
        <v>368</v>
      </c>
      <c r="B2502" s="13" t="s">
        <v>402</v>
      </c>
      <c r="C2502" s="13" t="s">
        <v>400</v>
      </c>
      <c r="D2502" s="14">
        <v>1072.9916742877463</v>
      </c>
      <c r="E2502" s="14">
        <v>273.90499082483029</v>
      </c>
      <c r="F2502" s="14">
        <v>151.51251952141024</v>
      </c>
      <c r="G2502" s="14">
        <v>157.62883454834025</v>
      </c>
      <c r="H2502" s="14">
        <v>101.90390531917559</v>
      </c>
      <c r="I2502" s="14">
        <v>40.055715834735942</v>
      </c>
      <c r="J2502" s="14">
        <v>38.980304732887305</v>
      </c>
    </row>
    <row r="2503" spans="1:10" ht="15.75" x14ac:dyDescent="0.5">
      <c r="A2503" s="13" t="s">
        <v>368</v>
      </c>
      <c r="B2503" s="13" t="s">
        <v>403</v>
      </c>
      <c r="C2503" s="13" t="s">
        <v>400</v>
      </c>
      <c r="D2503" s="14" t="s">
        <v>250</v>
      </c>
      <c r="E2503" s="14" t="s">
        <v>250</v>
      </c>
      <c r="F2503" s="14">
        <v>57.016515806365391</v>
      </c>
      <c r="G2503" s="14">
        <v>57.016515806365334</v>
      </c>
      <c r="H2503" s="14">
        <v>11.540534181345039</v>
      </c>
      <c r="I2503" s="14">
        <v>11.540534181345038</v>
      </c>
      <c r="J2503" s="14" t="s">
        <v>250</v>
      </c>
    </row>
    <row r="2504" spans="1:10" ht="15.75" x14ac:dyDescent="0.5">
      <c r="A2504" s="13" t="s">
        <v>368</v>
      </c>
      <c r="B2504" s="13" t="s">
        <v>421</v>
      </c>
      <c r="C2504" s="13" t="s">
        <v>400</v>
      </c>
      <c r="D2504" s="14" t="s">
        <v>250</v>
      </c>
      <c r="E2504" s="14" t="s">
        <v>250</v>
      </c>
      <c r="F2504" s="14" t="s">
        <v>250</v>
      </c>
      <c r="G2504" s="14">
        <v>179.58065900092939</v>
      </c>
      <c r="H2504" s="14">
        <v>484.0516594634588</v>
      </c>
      <c r="I2504" s="14">
        <v>479.97392035240665</v>
      </c>
      <c r="J2504" s="14">
        <v>76.429209388967166</v>
      </c>
    </row>
    <row r="2505" spans="1:10" ht="15.75" x14ac:dyDescent="0.5">
      <c r="A2505" s="13" t="s">
        <v>368</v>
      </c>
      <c r="B2505" s="13" t="s">
        <v>405</v>
      </c>
      <c r="C2505" s="13" t="s">
        <v>400</v>
      </c>
      <c r="D2505" s="14">
        <v>1259.389129088994</v>
      </c>
      <c r="E2505" s="14">
        <v>1461.6796778404291</v>
      </c>
      <c r="F2505" s="14">
        <v>1568.4292338265916</v>
      </c>
      <c r="G2505" s="14">
        <v>1624.5634623501883</v>
      </c>
      <c r="H2505" s="14">
        <v>1168.1374553879505</v>
      </c>
      <c r="I2505" s="14">
        <v>815.53580433683442</v>
      </c>
      <c r="J2505" s="14">
        <v>1139.2124967164118</v>
      </c>
    </row>
    <row r="2506" spans="1:10" ht="15.75" x14ac:dyDescent="0.5">
      <c r="A2506" s="13" t="s">
        <v>368</v>
      </c>
      <c r="B2506" s="13" t="s">
        <v>406</v>
      </c>
      <c r="C2506" s="13" t="s">
        <v>400</v>
      </c>
      <c r="D2506" s="14">
        <v>23.479196814299335</v>
      </c>
      <c r="E2506" s="14">
        <v>32.062068274377971</v>
      </c>
      <c r="F2506" s="14">
        <v>43.296040687779978</v>
      </c>
      <c r="G2506" s="14">
        <v>41.905826083201845</v>
      </c>
      <c r="H2506" s="14">
        <v>38.56294836049716</v>
      </c>
      <c r="I2506" s="14">
        <v>34.074557916424347</v>
      </c>
      <c r="J2506" s="14">
        <v>31.285591379930324</v>
      </c>
    </row>
    <row r="2507" spans="1:10" ht="15.75" x14ac:dyDescent="0.5">
      <c r="A2507" s="13" t="s">
        <v>368</v>
      </c>
      <c r="B2507" s="13" t="s">
        <v>407</v>
      </c>
      <c r="C2507" s="13" t="s">
        <v>400</v>
      </c>
      <c r="D2507" s="14" t="s">
        <v>250</v>
      </c>
      <c r="E2507" s="14">
        <v>117.87628333342967</v>
      </c>
      <c r="F2507" s="14">
        <v>52.925743510176929</v>
      </c>
      <c r="G2507" s="14">
        <v>83.450122909013601</v>
      </c>
      <c r="H2507" s="14" t="s">
        <v>250</v>
      </c>
      <c r="I2507" s="14" t="s">
        <v>250</v>
      </c>
      <c r="J2507" s="14" t="s">
        <v>250</v>
      </c>
    </row>
    <row r="2508" spans="1:10" ht="15.75" x14ac:dyDescent="0.5">
      <c r="A2508" s="13" t="s">
        <v>368</v>
      </c>
      <c r="B2508" s="13" t="s">
        <v>408</v>
      </c>
      <c r="C2508" s="13" t="s">
        <v>400</v>
      </c>
      <c r="D2508" s="14">
        <v>46.892290321001227</v>
      </c>
      <c r="E2508" s="14">
        <v>29.608954051757024</v>
      </c>
      <c r="F2508" s="14">
        <v>22.408131349632928</v>
      </c>
      <c r="G2508" s="14">
        <v>27.543244536766565</v>
      </c>
      <c r="H2508" s="14">
        <v>25.485175335203834</v>
      </c>
      <c r="I2508" s="14">
        <v>17.391600631897166</v>
      </c>
      <c r="J2508" s="14">
        <v>22.220716992563354</v>
      </c>
    </row>
    <row r="2509" spans="1:10" ht="15.75" x14ac:dyDescent="0.5">
      <c r="A2509" s="13" t="s">
        <v>368</v>
      </c>
      <c r="B2509" s="13" t="s">
        <v>409</v>
      </c>
      <c r="C2509" s="13" t="s">
        <v>400</v>
      </c>
      <c r="D2509" s="14">
        <v>18.365704270000034</v>
      </c>
      <c r="E2509" s="14">
        <v>18.365704270000034</v>
      </c>
      <c r="F2509" s="14">
        <v>18.365704270000034</v>
      </c>
      <c r="G2509" s="14">
        <v>18.365704270000037</v>
      </c>
      <c r="H2509" s="14">
        <v>18.365704270000037</v>
      </c>
      <c r="I2509" s="14">
        <v>18.36570427000003</v>
      </c>
      <c r="J2509" s="14">
        <v>17.674442068306604</v>
      </c>
    </row>
    <row r="2510" spans="1:10" ht="15.75" x14ac:dyDescent="0.5">
      <c r="A2510" s="13" t="s">
        <v>368</v>
      </c>
      <c r="B2510" s="13" t="s">
        <v>410</v>
      </c>
      <c r="C2510" s="13" t="s">
        <v>400</v>
      </c>
      <c r="D2510" s="14">
        <v>245.79356253202215</v>
      </c>
      <c r="E2510" s="14">
        <v>244.62418406371015</v>
      </c>
      <c r="F2510" s="14">
        <v>245.73451799816516</v>
      </c>
      <c r="G2510" s="14">
        <v>246.16997594139102</v>
      </c>
      <c r="H2510" s="14">
        <v>246.16997594139093</v>
      </c>
      <c r="I2510" s="14">
        <v>246.00035470022317</v>
      </c>
      <c r="J2510" s="14">
        <v>246.16997594139104</v>
      </c>
    </row>
    <row r="2511" spans="1:10" ht="15.75" x14ac:dyDescent="0.5">
      <c r="A2511" s="13" t="s">
        <v>368</v>
      </c>
      <c r="B2511" s="13" t="s">
        <v>411</v>
      </c>
      <c r="C2511" s="13" t="s">
        <v>400</v>
      </c>
      <c r="D2511" s="14">
        <v>7.139400000000018</v>
      </c>
      <c r="E2511" s="14">
        <v>3.559348905109498</v>
      </c>
      <c r="F2511" s="14" t="s">
        <v>250</v>
      </c>
      <c r="G2511" s="14" t="s">
        <v>250</v>
      </c>
      <c r="H2511" s="14" t="s">
        <v>250</v>
      </c>
      <c r="I2511" s="14" t="s">
        <v>250</v>
      </c>
      <c r="J2511" s="14" t="s">
        <v>250</v>
      </c>
    </row>
    <row r="2512" spans="1:10" ht="15.75" x14ac:dyDescent="0.5">
      <c r="A2512" s="13" t="s">
        <v>368</v>
      </c>
      <c r="B2512" s="13" t="s">
        <v>412</v>
      </c>
      <c r="C2512" s="13" t="s">
        <v>400</v>
      </c>
      <c r="D2512" s="14">
        <v>760.72545968400163</v>
      </c>
      <c r="E2512" s="14">
        <v>743.70684540016453</v>
      </c>
      <c r="F2512" s="14">
        <v>544.9076831714807</v>
      </c>
      <c r="G2512" s="14">
        <v>590.24341548336122</v>
      </c>
      <c r="H2512" s="14">
        <v>47.830234702171971</v>
      </c>
      <c r="I2512" s="14" t="s">
        <v>250</v>
      </c>
      <c r="J2512" s="14" t="s">
        <v>250</v>
      </c>
    </row>
    <row r="2513" spans="1:10" ht="15.75" x14ac:dyDescent="0.5">
      <c r="A2513" s="13" t="s">
        <v>368</v>
      </c>
      <c r="B2513" s="13" t="s">
        <v>413</v>
      </c>
      <c r="C2513" s="13" t="s">
        <v>400</v>
      </c>
      <c r="D2513" s="14">
        <v>23.702927619886129</v>
      </c>
      <c r="E2513" s="14">
        <v>26.133354782448762</v>
      </c>
      <c r="F2513" s="14">
        <v>11.218759269022753</v>
      </c>
      <c r="G2513" s="14">
        <v>6.6436756819331713</v>
      </c>
      <c r="H2513" s="14">
        <v>1.7028590257984053</v>
      </c>
      <c r="I2513" s="14">
        <v>1.905006769595867</v>
      </c>
      <c r="J2513" s="14">
        <v>3.7880094216268465</v>
      </c>
    </row>
    <row r="2514" spans="1:10" ht="15.75" x14ac:dyDescent="0.5">
      <c r="A2514" s="13" t="s">
        <v>368</v>
      </c>
      <c r="B2514" s="13" t="s">
        <v>414</v>
      </c>
      <c r="C2514" s="13" t="s">
        <v>400</v>
      </c>
      <c r="D2514" s="14">
        <v>0.6803907705109502</v>
      </c>
      <c r="E2514" s="14">
        <v>24.426397150733408</v>
      </c>
      <c r="F2514" s="14">
        <v>100.46311541086008</v>
      </c>
      <c r="G2514" s="14">
        <v>206.65368469900937</v>
      </c>
      <c r="H2514" s="14">
        <v>253.07204379532831</v>
      </c>
      <c r="I2514" s="14">
        <v>254.59033331062224</v>
      </c>
      <c r="J2514" s="14">
        <v>255.76598544076452</v>
      </c>
    </row>
    <row r="2515" spans="1:10" ht="15.75" x14ac:dyDescent="0.5">
      <c r="A2515" s="13" t="s">
        <v>368</v>
      </c>
      <c r="B2515" s="13" t="s">
        <v>415</v>
      </c>
      <c r="C2515" s="13" t="s">
        <v>400</v>
      </c>
      <c r="D2515" s="14">
        <v>440.53124483255556</v>
      </c>
      <c r="E2515" s="14">
        <v>873.95357024637542</v>
      </c>
      <c r="F2515" s="14">
        <v>1354.3536140994529</v>
      </c>
      <c r="G2515" s="14">
        <v>1407.9547906714577</v>
      </c>
      <c r="H2515" s="14">
        <v>2102.5497968372888</v>
      </c>
      <c r="I2515" s="14">
        <v>3305.6025786893451</v>
      </c>
      <c r="J2515" s="14">
        <v>3366.0126316742562</v>
      </c>
    </row>
    <row r="2516" spans="1:10" ht="15.75" x14ac:dyDescent="0.5">
      <c r="A2516" s="13" t="s">
        <v>368</v>
      </c>
      <c r="B2516" s="13" t="s">
        <v>416</v>
      </c>
      <c r="C2516" s="13" t="s">
        <v>400</v>
      </c>
      <c r="D2516" s="14" t="s">
        <v>250</v>
      </c>
      <c r="E2516" s="14">
        <v>70.934498682900752</v>
      </c>
      <c r="F2516" s="14">
        <v>100.195461227937</v>
      </c>
      <c r="G2516" s="14">
        <v>127.69344447727376</v>
      </c>
      <c r="H2516" s="14">
        <v>145.88323771792346</v>
      </c>
      <c r="I2516" s="14">
        <v>165.77906731373227</v>
      </c>
      <c r="J2516" s="14">
        <v>186.28657305490808</v>
      </c>
    </row>
    <row r="2517" spans="1:10" ht="15.75" x14ac:dyDescent="0.5">
      <c r="A2517" s="13" t="s">
        <v>368</v>
      </c>
      <c r="B2517" s="13" t="s">
        <v>417</v>
      </c>
      <c r="C2517" s="13" t="s">
        <v>400</v>
      </c>
      <c r="D2517" s="14">
        <v>187.48709633408706</v>
      </c>
      <c r="E2517" s="14">
        <v>298.36286233429854</v>
      </c>
      <c r="F2517" s="14">
        <v>339.94935565504693</v>
      </c>
      <c r="G2517" s="14">
        <v>907.92749238262707</v>
      </c>
      <c r="H2517" s="14">
        <v>2677.2470170147153</v>
      </c>
      <c r="I2517" s="14">
        <v>3791.521407593013</v>
      </c>
      <c r="J2517" s="14">
        <v>3877.2153617872455</v>
      </c>
    </row>
    <row r="2518" spans="1:10" ht="15.75" x14ac:dyDescent="0.5">
      <c r="A2518" s="13" t="s">
        <v>368</v>
      </c>
      <c r="B2518" s="13" t="s">
        <v>418</v>
      </c>
      <c r="C2518" s="13" t="s">
        <v>400</v>
      </c>
      <c r="D2518" s="14">
        <v>3.1841751731019539</v>
      </c>
      <c r="E2518" s="14">
        <v>3.1841751731019534</v>
      </c>
      <c r="F2518" s="14">
        <v>3.184175173101953</v>
      </c>
      <c r="G2518" s="14">
        <v>3.1841751731019539</v>
      </c>
      <c r="H2518" s="14">
        <v>3.184175173101953</v>
      </c>
      <c r="I2518" s="14">
        <v>3.1841751731019534</v>
      </c>
      <c r="J2518" s="14">
        <v>3.1841751731019534</v>
      </c>
    </row>
    <row r="2519" spans="1:10" ht="15.75" x14ac:dyDescent="0.5">
      <c r="A2519" s="13" t="s">
        <v>368</v>
      </c>
      <c r="B2519" s="13" t="s">
        <v>419</v>
      </c>
      <c r="C2519" s="13" t="s">
        <v>400</v>
      </c>
      <c r="D2519" s="14">
        <v>0.54465920264079504</v>
      </c>
      <c r="E2519" s="14">
        <v>8.6661976730652963</v>
      </c>
      <c r="F2519" s="14">
        <v>62.738139507587498</v>
      </c>
      <c r="G2519" s="14">
        <v>151.29230066551517</v>
      </c>
      <c r="H2519" s="14">
        <v>872.46449670224649</v>
      </c>
      <c r="I2519" s="14">
        <v>1702.4998888925659</v>
      </c>
      <c r="J2519" s="14">
        <v>1942.8317027428889</v>
      </c>
    </row>
    <row r="2520" spans="1:10" ht="15.75" x14ac:dyDescent="0.5">
      <c r="A2520" s="13" t="s">
        <v>368</v>
      </c>
      <c r="B2520" s="13" t="s">
        <v>420</v>
      </c>
      <c r="C2520" s="13" t="s">
        <v>400</v>
      </c>
      <c r="D2520" s="14">
        <v>-13.987252957808405</v>
      </c>
      <c r="E2520" s="14">
        <v>-13.403504180289058</v>
      </c>
      <c r="F2520" s="14">
        <v>-12.317750260343868</v>
      </c>
      <c r="G2520" s="14">
        <v>-11.572154091415207</v>
      </c>
      <c r="H2520" s="14">
        <v>-13.191719702981255</v>
      </c>
      <c r="I2520" s="14">
        <v>-17.012402535305995</v>
      </c>
      <c r="J2520" s="14">
        <v>-19.68179747913701</v>
      </c>
    </row>
    <row r="2521" spans="1:10" ht="15.75" x14ac:dyDescent="0.5">
      <c r="A2521" s="13" t="s">
        <v>369</v>
      </c>
      <c r="B2521" s="13" t="s">
        <v>399</v>
      </c>
      <c r="C2521" s="13" t="s">
        <v>400</v>
      </c>
      <c r="D2521" s="14">
        <v>7.2499064625597889</v>
      </c>
      <c r="E2521" s="14">
        <v>0.20898227163847566</v>
      </c>
      <c r="F2521" s="14">
        <v>0.51246000000000103</v>
      </c>
      <c r="G2521" s="14">
        <v>0.39560242335766493</v>
      </c>
      <c r="H2521" s="14">
        <v>0.70580435357145044</v>
      </c>
      <c r="I2521" s="14">
        <v>6.1070014598540258E-2</v>
      </c>
      <c r="J2521" s="14">
        <v>2.2262390364963545</v>
      </c>
    </row>
    <row r="2522" spans="1:10" ht="15.75" x14ac:dyDescent="0.5">
      <c r="A2522" s="13" t="s">
        <v>369</v>
      </c>
      <c r="B2522" s="13" t="s">
        <v>401</v>
      </c>
      <c r="C2522" s="13" t="s">
        <v>400</v>
      </c>
      <c r="D2522" s="14" t="s">
        <v>250</v>
      </c>
      <c r="E2522" s="14" t="s">
        <v>250</v>
      </c>
      <c r="F2522" s="14">
        <v>124.69536570062476</v>
      </c>
      <c r="G2522" s="14">
        <v>124.69536570062475</v>
      </c>
      <c r="H2522" s="14">
        <v>4.4007945819656804</v>
      </c>
      <c r="I2522" s="14" t="s">
        <v>250</v>
      </c>
      <c r="J2522" s="14" t="s">
        <v>250</v>
      </c>
    </row>
    <row r="2523" spans="1:10" ht="15.75" x14ac:dyDescent="0.5">
      <c r="A2523" s="13" t="s">
        <v>369</v>
      </c>
      <c r="B2523" s="13" t="s">
        <v>402</v>
      </c>
      <c r="C2523" s="13" t="s">
        <v>400</v>
      </c>
      <c r="D2523" s="14">
        <v>1072.9916742877467</v>
      </c>
      <c r="E2523" s="14">
        <v>275.7828206727213</v>
      </c>
      <c r="F2523" s="14">
        <v>131.95513450213087</v>
      </c>
      <c r="G2523" s="14">
        <v>93.764244084258308</v>
      </c>
      <c r="H2523" s="14">
        <v>27.545576903629268</v>
      </c>
      <c r="I2523" s="14">
        <v>7.7985132415119995</v>
      </c>
      <c r="J2523" s="14" t="s">
        <v>250</v>
      </c>
    </row>
    <row r="2524" spans="1:10" ht="15.75" x14ac:dyDescent="0.5">
      <c r="A2524" s="13" t="s">
        <v>369</v>
      </c>
      <c r="B2524" s="13" t="s">
        <v>403</v>
      </c>
      <c r="C2524" s="13" t="s">
        <v>400</v>
      </c>
      <c r="D2524" s="14" t="s">
        <v>250</v>
      </c>
      <c r="E2524" s="14" t="s">
        <v>250</v>
      </c>
      <c r="F2524" s="14">
        <v>223.23440016913048</v>
      </c>
      <c r="G2524" s="14">
        <v>223.23440016913034</v>
      </c>
      <c r="H2524" s="14">
        <v>72.407819430162519</v>
      </c>
      <c r="I2524" s="14">
        <v>42.583935127943498</v>
      </c>
      <c r="J2524" s="14">
        <v>10.046756916302105</v>
      </c>
    </row>
    <row r="2525" spans="1:10" ht="15.75" x14ac:dyDescent="0.5">
      <c r="A2525" s="13" t="s">
        <v>369</v>
      </c>
      <c r="B2525" s="13" t="s">
        <v>404</v>
      </c>
      <c r="C2525" s="13" t="s">
        <v>400</v>
      </c>
      <c r="D2525" s="14" t="s">
        <v>250</v>
      </c>
      <c r="E2525" s="14" t="s">
        <v>250</v>
      </c>
      <c r="F2525" s="14" t="s">
        <v>250</v>
      </c>
      <c r="G2525" s="14" t="s">
        <v>250</v>
      </c>
      <c r="H2525" s="14" t="s">
        <v>250</v>
      </c>
      <c r="I2525" s="14" t="s">
        <v>250</v>
      </c>
      <c r="J2525" s="14">
        <v>1.5768000000000035</v>
      </c>
    </row>
    <row r="2526" spans="1:10" ht="15.75" x14ac:dyDescent="0.5">
      <c r="A2526" s="13" t="s">
        <v>369</v>
      </c>
      <c r="B2526" s="13" t="s">
        <v>421</v>
      </c>
      <c r="C2526" s="13" t="s">
        <v>400</v>
      </c>
      <c r="D2526" s="14" t="s">
        <v>250</v>
      </c>
      <c r="E2526" s="14" t="s">
        <v>250</v>
      </c>
      <c r="F2526" s="14" t="s">
        <v>250</v>
      </c>
      <c r="G2526" s="14">
        <v>4.212649570697927</v>
      </c>
      <c r="H2526" s="14">
        <v>11.354901552605794</v>
      </c>
      <c r="I2526" s="14">
        <v>11.057565604727056</v>
      </c>
      <c r="J2526" s="14">
        <v>6.4828072963851273</v>
      </c>
    </row>
    <row r="2527" spans="1:10" ht="15.75" x14ac:dyDescent="0.5">
      <c r="A2527" s="13" t="s">
        <v>369</v>
      </c>
      <c r="B2527" s="13" t="s">
        <v>405</v>
      </c>
      <c r="C2527" s="13" t="s">
        <v>400</v>
      </c>
      <c r="D2527" s="14">
        <v>1259.3891290889944</v>
      </c>
      <c r="E2527" s="14">
        <v>1449.3191141740776</v>
      </c>
      <c r="F2527" s="14">
        <v>1325.944140210044</v>
      </c>
      <c r="G2527" s="14">
        <v>1316.9636849160847</v>
      </c>
      <c r="H2527" s="14">
        <v>1129.78178440701</v>
      </c>
      <c r="I2527" s="14">
        <v>731.87181339057986</v>
      </c>
      <c r="J2527" s="14">
        <v>322.22354012002768</v>
      </c>
    </row>
    <row r="2528" spans="1:10" ht="15.75" x14ac:dyDescent="0.5">
      <c r="A2528" s="13" t="s">
        <v>369</v>
      </c>
      <c r="B2528" s="13" t="s">
        <v>406</v>
      </c>
      <c r="C2528" s="13" t="s">
        <v>400</v>
      </c>
      <c r="D2528" s="14">
        <v>23.479196814299335</v>
      </c>
      <c r="E2528" s="14">
        <v>33.364758577974563</v>
      </c>
      <c r="F2528" s="14">
        <v>43.072447706055307</v>
      </c>
      <c r="G2528" s="14">
        <v>42.654656824443563</v>
      </c>
      <c r="H2528" s="14">
        <v>37.139215688647603</v>
      </c>
      <c r="I2528" s="14">
        <v>34.649346307403398</v>
      </c>
      <c r="J2528" s="14">
        <v>22.32566536174204</v>
      </c>
    </row>
    <row r="2529" spans="1:10" ht="15.75" x14ac:dyDescent="0.5">
      <c r="A2529" s="13" t="s">
        <v>369</v>
      </c>
      <c r="B2529" s="13" t="s">
        <v>407</v>
      </c>
      <c r="C2529" s="13" t="s">
        <v>400</v>
      </c>
      <c r="D2529" s="14" t="s">
        <v>250</v>
      </c>
      <c r="E2529" s="14">
        <v>129.42491784404902</v>
      </c>
      <c r="F2529" s="14">
        <v>66.516155403032741</v>
      </c>
      <c r="G2529" s="14">
        <v>120.67786546567149</v>
      </c>
      <c r="H2529" s="14" t="s">
        <v>250</v>
      </c>
      <c r="I2529" s="14" t="s">
        <v>250</v>
      </c>
      <c r="J2529" s="14" t="s">
        <v>250</v>
      </c>
    </row>
    <row r="2530" spans="1:10" ht="15.75" x14ac:dyDescent="0.5">
      <c r="A2530" s="13" t="s">
        <v>369</v>
      </c>
      <c r="B2530" s="13" t="s">
        <v>408</v>
      </c>
      <c r="C2530" s="13" t="s">
        <v>400</v>
      </c>
      <c r="D2530" s="14">
        <v>46.892290321001241</v>
      </c>
      <c r="E2530" s="14">
        <v>29.661805515878232</v>
      </c>
      <c r="F2530" s="14">
        <v>21.800093462639534</v>
      </c>
      <c r="G2530" s="14">
        <v>38.38065760562511</v>
      </c>
      <c r="H2530" s="14">
        <v>39.470606769471182</v>
      </c>
      <c r="I2530" s="14">
        <v>23.229287169322429</v>
      </c>
      <c r="J2530" s="14">
        <v>28.512169021223428</v>
      </c>
    </row>
    <row r="2531" spans="1:10" ht="15.75" x14ac:dyDescent="0.5">
      <c r="A2531" s="13" t="s">
        <v>369</v>
      </c>
      <c r="B2531" s="13" t="s">
        <v>409</v>
      </c>
      <c r="C2531" s="13" t="s">
        <v>400</v>
      </c>
      <c r="D2531" s="14">
        <v>18.365704270000034</v>
      </c>
      <c r="E2531" s="14">
        <v>18.36570427000003</v>
      </c>
      <c r="F2531" s="14">
        <v>18.365704270000034</v>
      </c>
      <c r="G2531" s="14">
        <v>18.365704270000037</v>
      </c>
      <c r="H2531" s="14">
        <v>18.365704270000041</v>
      </c>
      <c r="I2531" s="14">
        <v>18.365704270000037</v>
      </c>
      <c r="J2531" s="14">
        <v>17.674442068306604</v>
      </c>
    </row>
    <row r="2532" spans="1:10" ht="15.75" x14ac:dyDescent="0.5">
      <c r="A2532" s="13" t="s">
        <v>369</v>
      </c>
      <c r="B2532" s="13" t="s">
        <v>410</v>
      </c>
      <c r="C2532" s="13" t="s">
        <v>400</v>
      </c>
      <c r="D2532" s="14">
        <v>245.79356253202215</v>
      </c>
      <c r="E2532" s="14">
        <v>244.63507009001876</v>
      </c>
      <c r="F2532" s="14">
        <v>246.05237862795175</v>
      </c>
      <c r="G2532" s="14">
        <v>246.16997594138923</v>
      </c>
      <c r="H2532" s="14">
        <v>246.16997594138942</v>
      </c>
      <c r="I2532" s="14">
        <v>246.16997594150365</v>
      </c>
      <c r="J2532" s="14">
        <v>245.67038096967698</v>
      </c>
    </row>
    <row r="2533" spans="1:10" ht="15.75" x14ac:dyDescent="0.5">
      <c r="A2533" s="13" t="s">
        <v>369</v>
      </c>
      <c r="B2533" s="13" t="s">
        <v>411</v>
      </c>
      <c r="C2533" s="13" t="s">
        <v>400</v>
      </c>
      <c r="D2533" s="14">
        <v>7.1394000000000171</v>
      </c>
      <c r="E2533" s="14">
        <v>3.5593489051094989</v>
      </c>
      <c r="F2533" s="14" t="s">
        <v>250</v>
      </c>
      <c r="G2533" s="14" t="s">
        <v>250</v>
      </c>
      <c r="H2533" s="14" t="s">
        <v>250</v>
      </c>
      <c r="I2533" s="14" t="s">
        <v>250</v>
      </c>
      <c r="J2533" s="14" t="s">
        <v>250</v>
      </c>
    </row>
    <row r="2534" spans="1:10" ht="15.75" x14ac:dyDescent="0.5">
      <c r="A2534" s="13" t="s">
        <v>369</v>
      </c>
      <c r="B2534" s="13" t="s">
        <v>412</v>
      </c>
      <c r="C2534" s="13" t="s">
        <v>400</v>
      </c>
      <c r="D2534" s="14">
        <v>760.72545968400186</v>
      </c>
      <c r="E2534" s="14">
        <v>742.89299699734875</v>
      </c>
      <c r="F2534" s="14">
        <v>591.25867118591759</v>
      </c>
      <c r="G2534" s="14">
        <v>647.09509622402334</v>
      </c>
      <c r="H2534" s="14">
        <v>219.89944082686242</v>
      </c>
      <c r="I2534" s="14">
        <v>16.266499004602714</v>
      </c>
      <c r="J2534" s="14">
        <v>39.588498328408633</v>
      </c>
    </row>
    <row r="2535" spans="1:10" ht="15.75" x14ac:dyDescent="0.5">
      <c r="A2535" s="13" t="s">
        <v>369</v>
      </c>
      <c r="B2535" s="13" t="s">
        <v>413</v>
      </c>
      <c r="C2535" s="13" t="s">
        <v>400</v>
      </c>
      <c r="D2535" s="14">
        <v>23.70292761988614</v>
      </c>
      <c r="E2535" s="14">
        <v>26.514866023571415</v>
      </c>
      <c r="F2535" s="14">
        <v>10.871680992444743</v>
      </c>
      <c r="G2535" s="14">
        <v>4.2259822458797984</v>
      </c>
      <c r="H2535" s="14">
        <v>1.633821022286535</v>
      </c>
      <c r="I2535" s="14">
        <v>4.7368518014209871</v>
      </c>
      <c r="J2535" s="14">
        <v>0.48010475393099533</v>
      </c>
    </row>
    <row r="2536" spans="1:10" ht="15.75" x14ac:dyDescent="0.5">
      <c r="A2536" s="13" t="s">
        <v>369</v>
      </c>
      <c r="B2536" s="13" t="s">
        <v>414</v>
      </c>
      <c r="C2536" s="13" t="s">
        <v>400</v>
      </c>
      <c r="D2536" s="14">
        <v>0.6803907705109502</v>
      </c>
      <c r="E2536" s="14">
        <v>24.426397150733408</v>
      </c>
      <c r="F2536" s="14">
        <v>100.51320954528531</v>
      </c>
      <c r="G2536" s="14">
        <v>206.80640214744597</v>
      </c>
      <c r="H2536" s="14">
        <v>253.25153839216384</v>
      </c>
      <c r="I2536" s="14">
        <v>254.77101504103487</v>
      </c>
      <c r="J2536" s="14">
        <v>255.94758295993643</v>
      </c>
    </row>
    <row r="2537" spans="1:10" ht="15.75" x14ac:dyDescent="0.5">
      <c r="A2537" s="13" t="s">
        <v>369</v>
      </c>
      <c r="B2537" s="13" t="s">
        <v>415</v>
      </c>
      <c r="C2537" s="13" t="s">
        <v>400</v>
      </c>
      <c r="D2537" s="14">
        <v>440.53124483255561</v>
      </c>
      <c r="E2537" s="14">
        <v>873.81161666796424</v>
      </c>
      <c r="F2537" s="14">
        <v>1361.752207902588</v>
      </c>
      <c r="G2537" s="14">
        <v>1477.9726710203518</v>
      </c>
      <c r="H2537" s="14">
        <v>2294.827634647369</v>
      </c>
      <c r="I2537" s="14">
        <v>3728.9125152744582</v>
      </c>
      <c r="J2537" s="14">
        <v>4068.5738582173854</v>
      </c>
    </row>
    <row r="2538" spans="1:10" ht="15.75" x14ac:dyDescent="0.5">
      <c r="A2538" s="13" t="s">
        <v>369</v>
      </c>
      <c r="B2538" s="13" t="s">
        <v>416</v>
      </c>
      <c r="C2538" s="13" t="s">
        <v>400</v>
      </c>
      <c r="D2538" s="14" t="s">
        <v>250</v>
      </c>
      <c r="E2538" s="14">
        <v>70.934498682900752</v>
      </c>
      <c r="F2538" s="14">
        <v>100.19546122793697</v>
      </c>
      <c r="G2538" s="14">
        <v>127.6934444772738</v>
      </c>
      <c r="H2538" s="14">
        <v>145.88323771792338</v>
      </c>
      <c r="I2538" s="14">
        <v>165.77906731373227</v>
      </c>
      <c r="J2538" s="14">
        <v>186.2865730549081</v>
      </c>
    </row>
    <row r="2539" spans="1:10" ht="15.75" x14ac:dyDescent="0.5">
      <c r="A2539" s="13" t="s">
        <v>369</v>
      </c>
      <c r="B2539" s="13" t="s">
        <v>417</v>
      </c>
      <c r="C2539" s="13" t="s">
        <v>400</v>
      </c>
      <c r="D2539" s="14">
        <v>187.48709633408694</v>
      </c>
      <c r="E2539" s="14">
        <v>298.30786724466162</v>
      </c>
      <c r="F2539" s="14">
        <v>339.94935565504682</v>
      </c>
      <c r="G2539" s="14">
        <v>1087.9677175184841</v>
      </c>
      <c r="H2539" s="14">
        <v>2876.1528841565346</v>
      </c>
      <c r="I2539" s="14">
        <v>4405.3460575127365</v>
      </c>
      <c r="J2539" s="14">
        <v>4588.4364751964595</v>
      </c>
    </row>
    <row r="2540" spans="1:10" ht="15.75" x14ac:dyDescent="0.5">
      <c r="A2540" s="13" t="s">
        <v>369</v>
      </c>
      <c r="B2540" s="13" t="s">
        <v>418</v>
      </c>
      <c r="C2540" s="13" t="s">
        <v>400</v>
      </c>
      <c r="D2540" s="14">
        <v>3.1841751731019534</v>
      </c>
      <c r="E2540" s="14">
        <v>3.1841751731019534</v>
      </c>
      <c r="F2540" s="14">
        <v>3.184175173101953</v>
      </c>
      <c r="G2540" s="14">
        <v>3.1841751731019534</v>
      </c>
      <c r="H2540" s="14">
        <v>3.1841751731019534</v>
      </c>
      <c r="I2540" s="14">
        <v>3.1841751731019539</v>
      </c>
      <c r="J2540" s="14">
        <v>3.184175173101953</v>
      </c>
    </row>
    <row r="2541" spans="1:10" ht="15.75" x14ac:dyDescent="0.5">
      <c r="A2541" s="13" t="s">
        <v>369</v>
      </c>
      <c r="B2541" s="13" t="s">
        <v>419</v>
      </c>
      <c r="C2541" s="13" t="s">
        <v>400</v>
      </c>
      <c r="D2541" s="14">
        <v>0.54465920264079504</v>
      </c>
      <c r="E2541" s="14">
        <v>8.8175181722830711</v>
      </c>
      <c r="F2541" s="14">
        <v>68.359105562265086</v>
      </c>
      <c r="G2541" s="14">
        <v>227.42319955073435</v>
      </c>
      <c r="H2541" s="14">
        <v>1187.5772463792121</v>
      </c>
      <c r="I2541" s="14">
        <v>2428.8115632776726</v>
      </c>
      <c r="J2541" s="14">
        <v>3259.3623352715672</v>
      </c>
    </row>
    <row r="2542" spans="1:10" ht="15.75" x14ac:dyDescent="0.5">
      <c r="A2542" s="13" t="s">
        <v>369</v>
      </c>
      <c r="B2542" s="13" t="s">
        <v>420</v>
      </c>
      <c r="C2542" s="13" t="s">
        <v>400</v>
      </c>
      <c r="D2542" s="14">
        <v>-13.987252957808376</v>
      </c>
      <c r="E2542" s="14">
        <v>-13.560650283220813</v>
      </c>
      <c r="F2542" s="14">
        <v>-13.224667543289646</v>
      </c>
      <c r="G2542" s="14">
        <v>-11.873379376816031</v>
      </c>
      <c r="H2542" s="14">
        <v>-12.889871107230125</v>
      </c>
      <c r="I2542" s="14">
        <v>-16.356069791147068</v>
      </c>
      <c r="J2542" s="14">
        <v>-23.720332822212534</v>
      </c>
    </row>
    <row r="2543" spans="1:10" ht="15.75" x14ac:dyDescent="0.5">
      <c r="A2543" s="13" t="s">
        <v>370</v>
      </c>
      <c r="B2543" s="13" t="s">
        <v>399</v>
      </c>
      <c r="C2543" s="13" t="s">
        <v>400</v>
      </c>
      <c r="D2543" s="14">
        <v>7.249906462559788</v>
      </c>
      <c r="E2543" s="14">
        <v>0.20898227163846295</v>
      </c>
      <c r="F2543" s="14">
        <v>0.51246000000000103</v>
      </c>
      <c r="G2543" s="14">
        <v>0.39560242335766499</v>
      </c>
      <c r="H2543" s="14">
        <v>0.70580435357145044</v>
      </c>
      <c r="I2543" s="14">
        <v>6.1070014598540265E-2</v>
      </c>
      <c r="J2543" s="14">
        <v>2.2262390364963549</v>
      </c>
    </row>
    <row r="2544" spans="1:10" ht="15.75" x14ac:dyDescent="0.5">
      <c r="A2544" s="13" t="s">
        <v>370</v>
      </c>
      <c r="B2544" s="13" t="s">
        <v>401</v>
      </c>
      <c r="C2544" s="13" t="s">
        <v>400</v>
      </c>
      <c r="D2544" s="14" t="s">
        <v>250</v>
      </c>
      <c r="E2544" s="14" t="s">
        <v>250</v>
      </c>
      <c r="F2544" s="14">
        <v>124.6953655725782</v>
      </c>
      <c r="G2544" s="14">
        <v>124.69536557257823</v>
      </c>
      <c r="H2544" s="14">
        <v>4.4007945823803407</v>
      </c>
      <c r="I2544" s="14" t="s">
        <v>250</v>
      </c>
      <c r="J2544" s="14" t="s">
        <v>250</v>
      </c>
    </row>
    <row r="2545" spans="1:10" ht="15.75" x14ac:dyDescent="0.5">
      <c r="A2545" s="13" t="s">
        <v>370</v>
      </c>
      <c r="B2545" s="13" t="s">
        <v>402</v>
      </c>
      <c r="C2545" s="13" t="s">
        <v>400</v>
      </c>
      <c r="D2545" s="14">
        <v>1072.9916742877458</v>
      </c>
      <c r="E2545" s="14">
        <v>275.78281983044633</v>
      </c>
      <c r="F2545" s="14">
        <v>131.95513467261063</v>
      </c>
      <c r="G2545" s="14">
        <v>93.764244514398825</v>
      </c>
      <c r="H2545" s="14">
        <v>27.545576363645797</v>
      </c>
      <c r="I2545" s="14">
        <v>7.798516685489731</v>
      </c>
      <c r="J2545" s="14" t="s">
        <v>250</v>
      </c>
    </row>
    <row r="2546" spans="1:10" ht="15.75" x14ac:dyDescent="0.5">
      <c r="A2546" s="13" t="s">
        <v>370</v>
      </c>
      <c r="B2546" s="13" t="s">
        <v>403</v>
      </c>
      <c r="C2546" s="13" t="s">
        <v>400</v>
      </c>
      <c r="D2546" s="14" t="s">
        <v>250</v>
      </c>
      <c r="E2546" s="14" t="s">
        <v>250</v>
      </c>
      <c r="F2546" s="14">
        <v>223.23439842980767</v>
      </c>
      <c r="G2546" s="14">
        <v>223.2343984298077</v>
      </c>
      <c r="H2546" s="14">
        <v>72.407821985063194</v>
      </c>
      <c r="I2546" s="14">
        <v>42.583936718919702</v>
      </c>
      <c r="J2546" s="14">
        <v>10.046756916302108</v>
      </c>
    </row>
    <row r="2547" spans="1:10" ht="15.75" x14ac:dyDescent="0.5">
      <c r="A2547" s="13" t="s">
        <v>370</v>
      </c>
      <c r="B2547" s="13" t="s">
        <v>404</v>
      </c>
      <c r="C2547" s="13" t="s">
        <v>400</v>
      </c>
      <c r="D2547" s="14" t="s">
        <v>250</v>
      </c>
      <c r="E2547" s="14" t="s">
        <v>250</v>
      </c>
      <c r="F2547" s="14" t="s">
        <v>250</v>
      </c>
      <c r="G2547" s="14" t="s">
        <v>250</v>
      </c>
      <c r="H2547" s="14" t="s">
        <v>250</v>
      </c>
      <c r="I2547" s="14" t="s">
        <v>250</v>
      </c>
      <c r="J2547" s="14">
        <v>1.5768000000000035</v>
      </c>
    </row>
    <row r="2548" spans="1:10" ht="15.75" x14ac:dyDescent="0.5">
      <c r="A2548" s="13" t="s">
        <v>370</v>
      </c>
      <c r="B2548" s="13" t="s">
        <v>421</v>
      </c>
      <c r="C2548" s="13" t="s">
        <v>400</v>
      </c>
      <c r="D2548" s="14" t="s">
        <v>250</v>
      </c>
      <c r="E2548" s="14" t="s">
        <v>250</v>
      </c>
      <c r="F2548" s="14" t="s">
        <v>250</v>
      </c>
      <c r="G2548" s="14">
        <v>4.2126509861885193</v>
      </c>
      <c r="H2548" s="14">
        <v>11.354905367961447</v>
      </c>
      <c r="I2548" s="14">
        <v>11.057569287368747</v>
      </c>
      <c r="J2548" s="14">
        <v>6.4828094202428259</v>
      </c>
    </row>
    <row r="2549" spans="1:10" ht="15.75" x14ac:dyDescent="0.5">
      <c r="A2549" s="13" t="s">
        <v>370</v>
      </c>
      <c r="B2549" s="13" t="s">
        <v>405</v>
      </c>
      <c r="C2549" s="13" t="s">
        <v>400</v>
      </c>
      <c r="D2549" s="14">
        <v>1259.3891290889947</v>
      </c>
      <c r="E2549" s="14">
        <v>1449.3191134033268</v>
      </c>
      <c r="F2549" s="14">
        <v>1325.9441364924744</v>
      </c>
      <c r="G2549" s="14">
        <v>1316.9636823606829</v>
      </c>
      <c r="H2549" s="14">
        <v>1129.7817845298582</v>
      </c>
      <c r="I2549" s="14">
        <v>731.87180858052898</v>
      </c>
      <c r="J2549" s="14">
        <v>322.22353795447737</v>
      </c>
    </row>
    <row r="2550" spans="1:10" ht="15.75" x14ac:dyDescent="0.5">
      <c r="A2550" s="13" t="s">
        <v>370</v>
      </c>
      <c r="B2550" s="13" t="s">
        <v>406</v>
      </c>
      <c r="C2550" s="13" t="s">
        <v>400</v>
      </c>
      <c r="D2550" s="14">
        <v>23.479196814299328</v>
      </c>
      <c r="E2550" s="14">
        <v>33.364758934753652</v>
      </c>
      <c r="F2550" s="14">
        <v>43.072450077126234</v>
      </c>
      <c r="G2550" s="14">
        <v>42.654657674407503</v>
      </c>
      <c r="H2550" s="14">
        <v>37.139216059181813</v>
      </c>
      <c r="I2550" s="14">
        <v>34.649346360775382</v>
      </c>
      <c r="J2550" s="14">
        <v>22.32566692811476</v>
      </c>
    </row>
    <row r="2551" spans="1:10" ht="15.75" x14ac:dyDescent="0.5">
      <c r="A2551" s="13" t="s">
        <v>370</v>
      </c>
      <c r="B2551" s="13" t="s">
        <v>407</v>
      </c>
      <c r="C2551" s="13" t="s">
        <v>400</v>
      </c>
      <c r="D2551" s="14" t="s">
        <v>250</v>
      </c>
      <c r="E2551" s="14">
        <v>129.42491760448107</v>
      </c>
      <c r="F2551" s="14">
        <v>66.51615380644381</v>
      </c>
      <c r="G2551" s="14">
        <v>120.67786913133733</v>
      </c>
      <c r="H2551" s="14" t="s">
        <v>250</v>
      </c>
      <c r="I2551" s="14" t="s">
        <v>250</v>
      </c>
      <c r="J2551" s="14" t="s">
        <v>250</v>
      </c>
    </row>
    <row r="2552" spans="1:10" ht="15.75" x14ac:dyDescent="0.5">
      <c r="A2552" s="13" t="s">
        <v>370</v>
      </c>
      <c r="B2552" s="13" t="s">
        <v>408</v>
      </c>
      <c r="C2552" s="13" t="s">
        <v>400</v>
      </c>
      <c r="D2552" s="14">
        <v>46.892290321001227</v>
      </c>
      <c r="E2552" s="14">
        <v>29.661805510228699</v>
      </c>
      <c r="F2552" s="14">
        <v>21.800093464425583</v>
      </c>
      <c r="G2552" s="14">
        <v>38.380657667224327</v>
      </c>
      <c r="H2552" s="14">
        <v>39.470606716946634</v>
      </c>
      <c r="I2552" s="14">
        <v>23.22928727865823</v>
      </c>
      <c r="J2552" s="14">
        <v>28.512169010666632</v>
      </c>
    </row>
    <row r="2553" spans="1:10" ht="15.75" x14ac:dyDescent="0.5">
      <c r="A2553" s="13" t="s">
        <v>370</v>
      </c>
      <c r="B2553" s="13" t="s">
        <v>409</v>
      </c>
      <c r="C2553" s="13" t="s">
        <v>400</v>
      </c>
      <c r="D2553" s="14">
        <v>18.365704270000034</v>
      </c>
      <c r="E2553" s="14">
        <v>18.365704270000034</v>
      </c>
      <c r="F2553" s="14">
        <v>18.36570427000003</v>
      </c>
      <c r="G2553" s="14">
        <v>18.365704270000034</v>
      </c>
      <c r="H2553" s="14">
        <v>18.365704270000037</v>
      </c>
      <c r="I2553" s="14">
        <v>18.365704270000037</v>
      </c>
      <c r="J2553" s="14">
        <v>17.674442068306604</v>
      </c>
    </row>
    <row r="2554" spans="1:10" ht="15.75" x14ac:dyDescent="0.5">
      <c r="A2554" s="13" t="s">
        <v>370</v>
      </c>
      <c r="B2554" s="13" t="s">
        <v>410</v>
      </c>
      <c r="C2554" s="13" t="s">
        <v>400</v>
      </c>
      <c r="D2554" s="14">
        <v>245.79356253202212</v>
      </c>
      <c r="E2554" s="14">
        <v>244.63507004215657</v>
      </c>
      <c r="F2554" s="14">
        <v>246.05237862795184</v>
      </c>
      <c r="G2554" s="14">
        <v>246.16997594117939</v>
      </c>
      <c r="H2554" s="14">
        <v>246.16997594138488</v>
      </c>
      <c r="I2554" s="14">
        <v>246.16997594136598</v>
      </c>
      <c r="J2554" s="14">
        <v>245.67038096972581</v>
      </c>
    </row>
    <row r="2555" spans="1:10" ht="15.75" x14ac:dyDescent="0.5">
      <c r="A2555" s="13" t="s">
        <v>370</v>
      </c>
      <c r="B2555" s="13" t="s">
        <v>411</v>
      </c>
      <c r="C2555" s="13" t="s">
        <v>400</v>
      </c>
      <c r="D2555" s="14">
        <v>7.1394000000000144</v>
      </c>
      <c r="E2555" s="14">
        <v>3.5593489051094984</v>
      </c>
      <c r="F2555" s="14" t="s">
        <v>250</v>
      </c>
      <c r="G2555" s="14" t="s">
        <v>250</v>
      </c>
      <c r="H2555" s="14" t="s">
        <v>250</v>
      </c>
      <c r="I2555" s="14" t="s">
        <v>250</v>
      </c>
      <c r="J2555" s="14" t="s">
        <v>250</v>
      </c>
    </row>
    <row r="2556" spans="1:10" ht="15.75" x14ac:dyDescent="0.5">
      <c r="A2556" s="13" t="s">
        <v>370</v>
      </c>
      <c r="B2556" s="13" t="s">
        <v>412</v>
      </c>
      <c r="C2556" s="13" t="s">
        <v>400</v>
      </c>
      <c r="D2556" s="14">
        <v>760.72545968400198</v>
      </c>
      <c r="E2556" s="14">
        <v>742.89299706764257</v>
      </c>
      <c r="F2556" s="14">
        <v>591.25867668717569</v>
      </c>
      <c r="G2556" s="14">
        <v>647.09510194875759</v>
      </c>
      <c r="H2556" s="14">
        <v>219.89943987666783</v>
      </c>
      <c r="I2556" s="14">
        <v>16.266500258413167</v>
      </c>
      <c r="J2556" s="14">
        <v>39.588502900760865</v>
      </c>
    </row>
    <row r="2557" spans="1:10" ht="15.75" x14ac:dyDescent="0.5">
      <c r="A2557" s="13" t="s">
        <v>370</v>
      </c>
      <c r="B2557" s="13" t="s">
        <v>413</v>
      </c>
      <c r="C2557" s="13" t="s">
        <v>400</v>
      </c>
      <c r="D2557" s="14">
        <v>23.702927619886133</v>
      </c>
      <c r="E2557" s="14">
        <v>26.514866432280147</v>
      </c>
      <c r="F2557" s="14">
        <v>10.871680825462429</v>
      </c>
      <c r="G2557" s="14">
        <v>4.2259821974480269</v>
      </c>
      <c r="H2557" s="14">
        <v>1.6338210482946605</v>
      </c>
      <c r="I2557" s="14">
        <v>4.7368488079062203</v>
      </c>
      <c r="J2557" s="14">
        <v>0.48010489120614419</v>
      </c>
    </row>
    <row r="2558" spans="1:10" ht="15.75" x14ac:dyDescent="0.5">
      <c r="A2558" s="13" t="s">
        <v>370</v>
      </c>
      <c r="B2558" s="13" t="s">
        <v>414</v>
      </c>
      <c r="C2558" s="13" t="s">
        <v>400</v>
      </c>
      <c r="D2558" s="14">
        <v>0.6803907705109502</v>
      </c>
      <c r="E2558" s="14">
        <v>24.426397150733408</v>
      </c>
      <c r="F2558" s="14">
        <v>100.51320954279342</v>
      </c>
      <c r="G2558" s="14">
        <v>206.80640214058801</v>
      </c>
      <c r="H2558" s="14">
        <v>253.25153838524443</v>
      </c>
      <c r="I2558" s="14">
        <v>254.77101503406965</v>
      </c>
      <c r="J2558" s="14">
        <v>255.94758295293596</v>
      </c>
    </row>
    <row r="2559" spans="1:10" ht="15.75" x14ac:dyDescent="0.5">
      <c r="A2559" s="13" t="s">
        <v>370</v>
      </c>
      <c r="B2559" s="13" t="s">
        <v>415</v>
      </c>
      <c r="C2559" s="13" t="s">
        <v>400</v>
      </c>
      <c r="D2559" s="14">
        <v>440.53124483255556</v>
      </c>
      <c r="E2559" s="14">
        <v>873.81161666796402</v>
      </c>
      <c r="F2559" s="14">
        <v>1361.7522076289315</v>
      </c>
      <c r="G2559" s="14">
        <v>1477.9726695335885</v>
      </c>
      <c r="H2559" s="14">
        <v>2294.82763224378</v>
      </c>
      <c r="I2559" s="14">
        <v>3728.9125135848844</v>
      </c>
      <c r="J2559" s="14">
        <v>4068.5738567228373</v>
      </c>
    </row>
    <row r="2560" spans="1:10" ht="15.75" x14ac:dyDescent="0.5">
      <c r="A2560" s="13" t="s">
        <v>370</v>
      </c>
      <c r="B2560" s="13" t="s">
        <v>416</v>
      </c>
      <c r="C2560" s="13" t="s">
        <v>400</v>
      </c>
      <c r="D2560" s="14" t="s">
        <v>250</v>
      </c>
      <c r="E2560" s="14">
        <v>70.934498682900752</v>
      </c>
      <c r="F2560" s="14">
        <v>100.19546122793703</v>
      </c>
      <c r="G2560" s="14">
        <v>127.69344447727376</v>
      </c>
      <c r="H2560" s="14">
        <v>145.88323771792335</v>
      </c>
      <c r="I2560" s="14">
        <v>165.77906731373224</v>
      </c>
      <c r="J2560" s="14">
        <v>186.28657305490813</v>
      </c>
    </row>
    <row r="2561" spans="1:10" ht="15.75" x14ac:dyDescent="0.5">
      <c r="A2561" s="13" t="s">
        <v>370</v>
      </c>
      <c r="B2561" s="13" t="s">
        <v>417</v>
      </c>
      <c r="C2561" s="13" t="s">
        <v>400</v>
      </c>
      <c r="D2561" s="14">
        <v>187.487096334087</v>
      </c>
      <c r="E2561" s="14">
        <v>298.30786724466162</v>
      </c>
      <c r="F2561" s="14">
        <v>339.94935565504682</v>
      </c>
      <c r="G2561" s="14">
        <v>1087.9677094429967</v>
      </c>
      <c r="H2561" s="14">
        <v>2876.1528789784966</v>
      </c>
      <c r="I2561" s="14">
        <v>4405.3460483863519</v>
      </c>
      <c r="J2561" s="14">
        <v>4588.4364648718392</v>
      </c>
    </row>
    <row r="2562" spans="1:10" ht="15.75" x14ac:dyDescent="0.5">
      <c r="A2562" s="13" t="s">
        <v>370</v>
      </c>
      <c r="B2562" s="13" t="s">
        <v>418</v>
      </c>
      <c r="C2562" s="13" t="s">
        <v>400</v>
      </c>
      <c r="D2562" s="14">
        <v>3.1841751731019539</v>
      </c>
      <c r="E2562" s="14">
        <v>3.1841751731019534</v>
      </c>
      <c r="F2562" s="14">
        <v>3.1841751731019534</v>
      </c>
      <c r="G2562" s="14">
        <v>3.1841751731019534</v>
      </c>
      <c r="H2562" s="14">
        <v>3.1841751731019534</v>
      </c>
      <c r="I2562" s="14">
        <v>3.1841751731019539</v>
      </c>
      <c r="J2562" s="14">
        <v>3.184175173101953</v>
      </c>
    </row>
    <row r="2563" spans="1:10" ht="15.75" x14ac:dyDescent="0.5">
      <c r="A2563" s="13" t="s">
        <v>370</v>
      </c>
      <c r="B2563" s="13" t="s">
        <v>419</v>
      </c>
      <c r="C2563" s="13" t="s">
        <v>400</v>
      </c>
      <c r="D2563" s="14">
        <v>0.54465920264079504</v>
      </c>
      <c r="E2563" s="14">
        <v>8.8175145705957547</v>
      </c>
      <c r="F2563" s="14">
        <v>68.359085237863098</v>
      </c>
      <c r="G2563" s="14">
        <v>227.42320064717217</v>
      </c>
      <c r="H2563" s="14">
        <v>1187.5948634022982</v>
      </c>
      <c r="I2563" s="14">
        <v>2428.8115630097627</v>
      </c>
      <c r="J2563" s="14">
        <v>3258.7991470803081</v>
      </c>
    </row>
    <row r="2564" spans="1:10" ht="15.75" x14ac:dyDescent="0.5">
      <c r="A2564" s="13" t="s">
        <v>370</v>
      </c>
      <c r="B2564" s="13" t="s">
        <v>420</v>
      </c>
      <c r="C2564" s="13" t="s">
        <v>400</v>
      </c>
      <c r="D2564" s="14">
        <v>-13.987252957808318</v>
      </c>
      <c r="E2564" s="14">
        <v>-13.560650199832136</v>
      </c>
      <c r="F2564" s="14">
        <v>-13.227074952997583</v>
      </c>
      <c r="G2564" s="14">
        <v>-11.873269678150304</v>
      </c>
      <c r="H2564" s="14">
        <v>-12.890044599423526</v>
      </c>
      <c r="I2564" s="14">
        <v>-16.358664638748618</v>
      </c>
      <c r="J2564" s="14">
        <v>-23.609548592005034</v>
      </c>
    </row>
    <row r="2565" spans="1:10" ht="15.75" x14ac:dyDescent="0.5">
      <c r="A2565" s="13" t="s">
        <v>371</v>
      </c>
      <c r="B2565" s="13" t="s">
        <v>399</v>
      </c>
      <c r="C2565" s="13" t="s">
        <v>400</v>
      </c>
      <c r="D2565" s="14">
        <v>7.2499064625597889</v>
      </c>
      <c r="E2565" s="14">
        <v>0.20898227163847177</v>
      </c>
      <c r="F2565" s="14">
        <v>0.51246000000000114</v>
      </c>
      <c r="G2565" s="14">
        <v>0.39560242335766493</v>
      </c>
      <c r="H2565" s="14">
        <v>0.7055853612213574</v>
      </c>
      <c r="I2565" s="14">
        <v>6.1070014598540265E-2</v>
      </c>
      <c r="J2565" s="14">
        <v>1.4860533722627762</v>
      </c>
    </row>
    <row r="2566" spans="1:10" ht="15.75" x14ac:dyDescent="0.5">
      <c r="A2566" s="13" t="s">
        <v>371</v>
      </c>
      <c r="B2566" s="13" t="s">
        <v>401</v>
      </c>
      <c r="C2566" s="13" t="s">
        <v>400</v>
      </c>
      <c r="D2566" s="14" t="s">
        <v>250</v>
      </c>
      <c r="E2566" s="14" t="s">
        <v>250</v>
      </c>
      <c r="F2566" s="14">
        <v>124.05902849423462</v>
      </c>
      <c r="G2566" s="14">
        <v>124.05902849423461</v>
      </c>
      <c r="H2566" s="14">
        <v>4.4220804589905081</v>
      </c>
      <c r="I2566" s="14" t="s">
        <v>250</v>
      </c>
      <c r="J2566" s="14" t="s">
        <v>250</v>
      </c>
    </row>
    <row r="2567" spans="1:10" ht="15.75" x14ac:dyDescent="0.5">
      <c r="A2567" s="13" t="s">
        <v>371</v>
      </c>
      <c r="B2567" s="13" t="s">
        <v>402</v>
      </c>
      <c r="C2567" s="13" t="s">
        <v>400</v>
      </c>
      <c r="D2567" s="14">
        <v>1072.9916742877467</v>
      </c>
      <c r="E2567" s="14">
        <v>275.76005986714449</v>
      </c>
      <c r="F2567" s="14">
        <v>132.1169250484229</v>
      </c>
      <c r="G2567" s="14">
        <v>93.486674973658467</v>
      </c>
      <c r="H2567" s="14">
        <v>28.002093541617747</v>
      </c>
      <c r="I2567" s="14">
        <v>7.7164009309130464</v>
      </c>
      <c r="J2567" s="14" t="s">
        <v>250</v>
      </c>
    </row>
    <row r="2568" spans="1:10" ht="15.75" x14ac:dyDescent="0.5">
      <c r="A2568" s="13" t="s">
        <v>371</v>
      </c>
      <c r="B2568" s="13" t="s">
        <v>403</v>
      </c>
      <c r="C2568" s="13" t="s">
        <v>400</v>
      </c>
      <c r="D2568" s="14" t="s">
        <v>250</v>
      </c>
      <c r="E2568" s="14" t="s">
        <v>250</v>
      </c>
      <c r="F2568" s="14">
        <v>223.29232832031755</v>
      </c>
      <c r="G2568" s="14">
        <v>223.29232832031752</v>
      </c>
      <c r="H2568" s="14">
        <v>73.40863515354657</v>
      </c>
      <c r="I2568" s="14">
        <v>42.919670313349563</v>
      </c>
      <c r="J2568" s="14" t="s">
        <v>250</v>
      </c>
    </row>
    <row r="2569" spans="1:10" ht="15.75" x14ac:dyDescent="0.5">
      <c r="A2569" s="13" t="s">
        <v>371</v>
      </c>
      <c r="B2569" s="13" t="s">
        <v>421</v>
      </c>
      <c r="C2569" s="13" t="s">
        <v>400</v>
      </c>
      <c r="D2569" s="14" t="s">
        <v>250</v>
      </c>
      <c r="E2569" s="14" t="s">
        <v>250</v>
      </c>
      <c r="F2569" s="14" t="s">
        <v>250</v>
      </c>
      <c r="G2569" s="14">
        <v>0.88239713546582743</v>
      </c>
      <c r="H2569" s="14">
        <v>2.3784396103604362</v>
      </c>
      <c r="I2569" s="14">
        <v>2.3784396103604366</v>
      </c>
      <c r="J2569" s="14">
        <v>1.4023880451154007</v>
      </c>
    </row>
    <row r="2570" spans="1:10" ht="15.75" x14ac:dyDescent="0.5">
      <c r="A2570" s="13" t="s">
        <v>371</v>
      </c>
      <c r="B2570" s="13" t="s">
        <v>405</v>
      </c>
      <c r="C2570" s="13" t="s">
        <v>400</v>
      </c>
      <c r="D2570" s="14">
        <v>1259.3891290889949</v>
      </c>
      <c r="E2570" s="14">
        <v>1450.3946939827779</v>
      </c>
      <c r="F2570" s="14">
        <v>1326.0437548226109</v>
      </c>
      <c r="G2570" s="14">
        <v>1318.5119229457082</v>
      </c>
      <c r="H2570" s="14">
        <v>1129.0333336862361</v>
      </c>
      <c r="I2570" s="14">
        <v>731.4565357234959</v>
      </c>
      <c r="J2570" s="14">
        <v>312.62745956972492</v>
      </c>
    </row>
    <row r="2571" spans="1:10" ht="15.75" x14ac:dyDescent="0.5">
      <c r="A2571" s="13" t="s">
        <v>371</v>
      </c>
      <c r="B2571" s="13" t="s">
        <v>406</v>
      </c>
      <c r="C2571" s="13" t="s">
        <v>400</v>
      </c>
      <c r="D2571" s="14">
        <v>23.479196814299332</v>
      </c>
      <c r="E2571" s="14">
        <v>33.347985803791097</v>
      </c>
      <c r="F2571" s="14">
        <v>43.242423486466492</v>
      </c>
      <c r="G2571" s="14">
        <v>42.630107806372564</v>
      </c>
      <c r="H2571" s="14">
        <v>37.099647923762511</v>
      </c>
      <c r="I2571" s="14">
        <v>34.267149974243317</v>
      </c>
      <c r="J2571" s="14">
        <v>25.400909277491099</v>
      </c>
    </row>
    <row r="2572" spans="1:10" ht="15.75" x14ac:dyDescent="0.5">
      <c r="A2572" s="13" t="s">
        <v>371</v>
      </c>
      <c r="B2572" s="13" t="s">
        <v>407</v>
      </c>
      <c r="C2572" s="13" t="s">
        <v>400</v>
      </c>
      <c r="D2572" s="14" t="s">
        <v>250</v>
      </c>
      <c r="E2572" s="14">
        <v>127.92217060156548</v>
      </c>
      <c r="F2572" s="14">
        <v>64.914156701091144</v>
      </c>
      <c r="G2572" s="14">
        <v>118.26395537443076</v>
      </c>
      <c r="H2572" s="14" t="s">
        <v>250</v>
      </c>
      <c r="I2572" s="14" t="s">
        <v>250</v>
      </c>
      <c r="J2572" s="14" t="s">
        <v>250</v>
      </c>
    </row>
    <row r="2573" spans="1:10" ht="15.75" x14ac:dyDescent="0.5">
      <c r="A2573" s="13" t="s">
        <v>371</v>
      </c>
      <c r="B2573" s="13" t="s">
        <v>408</v>
      </c>
      <c r="C2573" s="13" t="s">
        <v>400</v>
      </c>
      <c r="D2573" s="14">
        <v>46.892290321001234</v>
      </c>
      <c r="E2573" s="14">
        <v>29.628665396668342</v>
      </c>
      <c r="F2573" s="14">
        <v>21.84956193097781</v>
      </c>
      <c r="G2573" s="14">
        <v>38.442681315080861</v>
      </c>
      <c r="H2573" s="14">
        <v>39.752984687323853</v>
      </c>
      <c r="I2573" s="14">
        <v>23.881152609874796</v>
      </c>
      <c r="J2573" s="14">
        <v>27.798939245965023</v>
      </c>
    </row>
    <row r="2574" spans="1:10" ht="15.75" x14ac:dyDescent="0.5">
      <c r="A2574" s="13" t="s">
        <v>371</v>
      </c>
      <c r="B2574" s="13" t="s">
        <v>409</v>
      </c>
      <c r="C2574" s="13" t="s">
        <v>400</v>
      </c>
      <c r="D2574" s="14">
        <v>18.36570427000003</v>
      </c>
      <c r="E2574" s="14">
        <v>18.365704270000034</v>
      </c>
      <c r="F2574" s="14">
        <v>18.36570427000003</v>
      </c>
      <c r="G2574" s="14">
        <v>18.365704270000034</v>
      </c>
      <c r="H2574" s="14">
        <v>18.365704270000034</v>
      </c>
      <c r="I2574" s="14">
        <v>18.365704270000034</v>
      </c>
      <c r="J2574" s="14">
        <v>17.674442068306604</v>
      </c>
    </row>
    <row r="2575" spans="1:10" ht="15.75" x14ac:dyDescent="0.5">
      <c r="A2575" s="13" t="s">
        <v>371</v>
      </c>
      <c r="B2575" s="13" t="s">
        <v>410</v>
      </c>
      <c r="C2575" s="13" t="s">
        <v>400</v>
      </c>
      <c r="D2575" s="14">
        <v>245.79356253202215</v>
      </c>
      <c r="E2575" s="14">
        <v>244.62917959274682</v>
      </c>
      <c r="F2575" s="14">
        <v>246.03975406811327</v>
      </c>
      <c r="G2575" s="14">
        <v>246.16997594138923</v>
      </c>
      <c r="H2575" s="14">
        <v>246.16997594139235</v>
      </c>
      <c r="I2575" s="14">
        <v>246.16997594138627</v>
      </c>
      <c r="J2575" s="14">
        <v>245.75534936182731</v>
      </c>
    </row>
    <row r="2576" spans="1:10" ht="15.75" x14ac:dyDescent="0.5">
      <c r="A2576" s="13" t="s">
        <v>371</v>
      </c>
      <c r="B2576" s="13" t="s">
        <v>411</v>
      </c>
      <c r="C2576" s="13" t="s">
        <v>400</v>
      </c>
      <c r="D2576" s="14">
        <v>7.139400000000018</v>
      </c>
      <c r="E2576" s="14">
        <v>3.7225384099532652</v>
      </c>
      <c r="F2576" s="14" t="s">
        <v>250</v>
      </c>
      <c r="G2576" s="14" t="s">
        <v>250</v>
      </c>
      <c r="H2576" s="14" t="s">
        <v>250</v>
      </c>
      <c r="I2576" s="14" t="s">
        <v>250</v>
      </c>
      <c r="J2576" s="14" t="s">
        <v>250</v>
      </c>
    </row>
    <row r="2577" spans="1:10" ht="15.75" x14ac:dyDescent="0.5">
      <c r="A2577" s="13" t="s">
        <v>371</v>
      </c>
      <c r="B2577" s="13" t="s">
        <v>412</v>
      </c>
      <c r="C2577" s="13" t="s">
        <v>400</v>
      </c>
      <c r="D2577" s="14">
        <v>760.72545968400163</v>
      </c>
      <c r="E2577" s="14">
        <v>743.00318024988746</v>
      </c>
      <c r="F2577" s="14">
        <v>591.37771652947458</v>
      </c>
      <c r="G2577" s="14">
        <v>647.9315591305126</v>
      </c>
      <c r="H2577" s="14">
        <v>198.1679444048267</v>
      </c>
      <c r="I2577" s="14">
        <v>8.6327943015292732</v>
      </c>
      <c r="J2577" s="14">
        <v>228.08536246492017</v>
      </c>
    </row>
    <row r="2578" spans="1:10" ht="15.75" x14ac:dyDescent="0.5">
      <c r="A2578" s="13" t="s">
        <v>371</v>
      </c>
      <c r="B2578" s="13" t="s">
        <v>413</v>
      </c>
      <c r="C2578" s="13" t="s">
        <v>400</v>
      </c>
      <c r="D2578" s="14">
        <v>23.70292761988614</v>
      </c>
      <c r="E2578" s="14">
        <v>26.497567218586692</v>
      </c>
      <c r="F2578" s="14">
        <v>11.031543646970301</v>
      </c>
      <c r="G2578" s="14">
        <v>4.2759334758194818</v>
      </c>
      <c r="H2578" s="14">
        <v>1.6298534144948695</v>
      </c>
      <c r="I2578" s="14">
        <v>4.2152368344200868</v>
      </c>
      <c r="J2578" s="14">
        <v>0.4077622773722635</v>
      </c>
    </row>
    <row r="2579" spans="1:10" ht="15.75" x14ac:dyDescent="0.5">
      <c r="A2579" s="13" t="s">
        <v>371</v>
      </c>
      <c r="B2579" s="13" t="s">
        <v>414</v>
      </c>
      <c r="C2579" s="13" t="s">
        <v>400</v>
      </c>
      <c r="D2579" s="14">
        <v>0.6803907705109502</v>
      </c>
      <c r="E2579" s="14">
        <v>24.426397150733408</v>
      </c>
      <c r="F2579" s="14">
        <v>100.51619526904128</v>
      </c>
      <c r="G2579" s="14">
        <v>206.81236268807982</v>
      </c>
      <c r="H2579" s="14">
        <v>253.25369238475702</v>
      </c>
      <c r="I2579" s="14">
        <v>254.77318327961081</v>
      </c>
      <c r="J2579" s="14">
        <v>255.94976218827048</v>
      </c>
    </row>
    <row r="2580" spans="1:10" ht="15.75" x14ac:dyDescent="0.5">
      <c r="A2580" s="13" t="s">
        <v>371</v>
      </c>
      <c r="B2580" s="13" t="s">
        <v>415</v>
      </c>
      <c r="C2580" s="13" t="s">
        <v>400</v>
      </c>
      <c r="D2580" s="14">
        <v>440.53124483255556</v>
      </c>
      <c r="E2580" s="14">
        <v>873.81161676238298</v>
      </c>
      <c r="F2580" s="14">
        <v>1361.7688903000176</v>
      </c>
      <c r="G2580" s="14">
        <v>1475.2598276855424</v>
      </c>
      <c r="H2580" s="14">
        <v>2315.4214831025615</v>
      </c>
      <c r="I2580" s="14">
        <v>3711.7169779525698</v>
      </c>
      <c r="J2580" s="14">
        <v>3906.8742524852901</v>
      </c>
    </row>
    <row r="2581" spans="1:10" ht="15.75" x14ac:dyDescent="0.5">
      <c r="A2581" s="13" t="s">
        <v>371</v>
      </c>
      <c r="B2581" s="13" t="s">
        <v>416</v>
      </c>
      <c r="C2581" s="13" t="s">
        <v>400</v>
      </c>
      <c r="D2581" s="14" t="s">
        <v>250</v>
      </c>
      <c r="E2581" s="14">
        <v>70.934498682900738</v>
      </c>
      <c r="F2581" s="14">
        <v>100.19546122793706</v>
      </c>
      <c r="G2581" s="14">
        <v>127.69344447727372</v>
      </c>
      <c r="H2581" s="14">
        <v>145.88323771792335</v>
      </c>
      <c r="I2581" s="14">
        <v>165.77906731373224</v>
      </c>
      <c r="J2581" s="14">
        <v>186.2865730549081</v>
      </c>
    </row>
    <row r="2582" spans="1:10" ht="15.75" x14ac:dyDescent="0.5">
      <c r="A2582" s="13" t="s">
        <v>371</v>
      </c>
      <c r="B2582" s="13" t="s">
        <v>417</v>
      </c>
      <c r="C2582" s="13" t="s">
        <v>400</v>
      </c>
      <c r="D2582" s="14">
        <v>187.48709633408694</v>
      </c>
      <c r="E2582" s="14">
        <v>298.36286233429848</v>
      </c>
      <c r="F2582" s="14">
        <v>339.94935565504699</v>
      </c>
      <c r="G2582" s="14">
        <v>1095.6050630745731</v>
      </c>
      <c r="H2582" s="14">
        <v>2889.8945435597607</v>
      </c>
      <c r="I2582" s="14">
        <v>4303.3866581715774</v>
      </c>
      <c r="J2582" s="14">
        <v>4457.7925392698071</v>
      </c>
    </row>
    <row r="2583" spans="1:10" ht="15.75" x14ac:dyDescent="0.5">
      <c r="A2583" s="13" t="s">
        <v>371</v>
      </c>
      <c r="B2583" s="13" t="s">
        <v>418</v>
      </c>
      <c r="C2583" s="13" t="s">
        <v>400</v>
      </c>
      <c r="D2583" s="14">
        <v>3.1841751731019534</v>
      </c>
      <c r="E2583" s="14">
        <v>3.184175173101953</v>
      </c>
      <c r="F2583" s="14">
        <v>3.1841751731019539</v>
      </c>
      <c r="G2583" s="14">
        <v>3.1841751731019534</v>
      </c>
      <c r="H2583" s="14">
        <v>3.1841751731019534</v>
      </c>
      <c r="I2583" s="14">
        <v>3.1841751731019539</v>
      </c>
      <c r="J2583" s="14">
        <v>3.1841751731019534</v>
      </c>
    </row>
    <row r="2584" spans="1:10" ht="15.75" x14ac:dyDescent="0.5">
      <c r="A2584" s="13" t="s">
        <v>371</v>
      </c>
      <c r="B2584" s="13" t="s">
        <v>419</v>
      </c>
      <c r="C2584" s="13" t="s">
        <v>400</v>
      </c>
      <c r="D2584" s="14">
        <v>0.54465920264079493</v>
      </c>
      <c r="E2584" s="14">
        <v>8.694303201744118</v>
      </c>
      <c r="F2584" s="14">
        <v>69.17321065021379</v>
      </c>
      <c r="G2584" s="14">
        <v>228.73600132102519</v>
      </c>
      <c r="H2584" s="14">
        <v>1195.6414815309636</v>
      </c>
      <c r="I2584" s="14">
        <v>2407.6607228044763</v>
      </c>
      <c r="J2584" s="14">
        <v>2896.8143821270824</v>
      </c>
    </row>
    <row r="2585" spans="1:10" ht="15.75" x14ac:dyDescent="0.5">
      <c r="A2585" s="13" t="s">
        <v>371</v>
      </c>
      <c r="B2585" s="13" t="s">
        <v>420</v>
      </c>
      <c r="C2585" s="13" t="s">
        <v>400</v>
      </c>
      <c r="D2585" s="14">
        <v>-13.987252957808423</v>
      </c>
      <c r="E2585" s="14">
        <v>-13.574283578415177</v>
      </c>
      <c r="F2585" s="14">
        <v>-13.238310131188443</v>
      </c>
      <c r="G2585" s="14">
        <v>-11.945423446268141</v>
      </c>
      <c r="H2585" s="14">
        <v>-12.874575830749507</v>
      </c>
      <c r="I2585" s="14">
        <v>-16.750654217773679</v>
      </c>
      <c r="J2585" s="14">
        <v>-21.989012903427859</v>
      </c>
    </row>
    <row r="2586" spans="1:10" ht="15.75" x14ac:dyDescent="0.5">
      <c r="A2586" s="13" t="s">
        <v>372</v>
      </c>
      <c r="B2586" s="13" t="s">
        <v>399</v>
      </c>
      <c r="C2586" s="13" t="s">
        <v>400</v>
      </c>
      <c r="D2586" s="14">
        <v>7.2499064625597898</v>
      </c>
      <c r="E2586" s="14">
        <v>0.20898227163847788</v>
      </c>
      <c r="F2586" s="14">
        <v>0.51246000000000114</v>
      </c>
      <c r="G2586" s="14">
        <v>0.39560242335766493</v>
      </c>
      <c r="H2586" s="14">
        <v>0.33382248175182544</v>
      </c>
      <c r="I2586" s="14">
        <v>1.5084000000000024E-2</v>
      </c>
      <c r="J2586" s="14">
        <v>1.5968908029197106</v>
      </c>
    </row>
    <row r="2587" spans="1:10" ht="15.75" x14ac:dyDescent="0.5">
      <c r="A2587" s="13" t="s">
        <v>372</v>
      </c>
      <c r="B2587" s="13" t="s">
        <v>401</v>
      </c>
      <c r="C2587" s="13" t="s">
        <v>400</v>
      </c>
      <c r="D2587" s="14" t="s">
        <v>250</v>
      </c>
      <c r="E2587" s="14" t="s">
        <v>250</v>
      </c>
      <c r="F2587" s="14">
        <v>120.29956999464964</v>
      </c>
      <c r="G2587" s="14">
        <v>120.29956999464963</v>
      </c>
      <c r="H2587" s="14">
        <v>3.5150290970235174</v>
      </c>
      <c r="I2587" s="14" t="s">
        <v>250</v>
      </c>
      <c r="J2587" s="14" t="s">
        <v>250</v>
      </c>
    </row>
    <row r="2588" spans="1:10" ht="15.75" x14ac:dyDescent="0.5">
      <c r="A2588" s="13" t="s">
        <v>372</v>
      </c>
      <c r="B2588" s="13" t="s">
        <v>402</v>
      </c>
      <c r="C2588" s="13" t="s">
        <v>400</v>
      </c>
      <c r="D2588" s="14">
        <v>1072.9916742877463</v>
      </c>
      <c r="E2588" s="14">
        <v>275.21637024350514</v>
      </c>
      <c r="F2588" s="14">
        <v>133.61343862524578</v>
      </c>
      <c r="G2588" s="14">
        <v>98.27416324608248</v>
      </c>
      <c r="H2588" s="14">
        <v>43.401412610919401</v>
      </c>
      <c r="I2588" s="14">
        <v>19.436426897625907</v>
      </c>
      <c r="J2588" s="14" t="s">
        <v>250</v>
      </c>
    </row>
    <row r="2589" spans="1:10" ht="15.75" x14ac:dyDescent="0.5">
      <c r="A2589" s="13" t="s">
        <v>372</v>
      </c>
      <c r="B2589" s="13" t="s">
        <v>403</v>
      </c>
      <c r="C2589" s="13" t="s">
        <v>400</v>
      </c>
      <c r="D2589" s="14" t="s">
        <v>250</v>
      </c>
      <c r="E2589" s="14" t="s">
        <v>250</v>
      </c>
      <c r="F2589" s="14">
        <v>181.8082487216671</v>
      </c>
      <c r="G2589" s="14">
        <v>181.80824872166716</v>
      </c>
      <c r="H2589" s="14">
        <v>36.972226849361093</v>
      </c>
      <c r="I2589" s="14">
        <v>34.991903353526922</v>
      </c>
      <c r="J2589" s="14" t="s">
        <v>250</v>
      </c>
    </row>
    <row r="2590" spans="1:10" ht="15.75" x14ac:dyDescent="0.5">
      <c r="A2590" s="13" t="s">
        <v>372</v>
      </c>
      <c r="B2590" s="13" t="s">
        <v>421</v>
      </c>
      <c r="C2590" s="13" t="s">
        <v>400</v>
      </c>
      <c r="D2590" s="14" t="s">
        <v>250</v>
      </c>
      <c r="E2590" s="14" t="s">
        <v>250</v>
      </c>
      <c r="F2590" s="14" t="s">
        <v>250</v>
      </c>
      <c r="G2590" s="14">
        <v>90.418799023796183</v>
      </c>
      <c r="H2590" s="14">
        <v>243.63787030540649</v>
      </c>
      <c r="I2590" s="14">
        <v>240.83444477443382</v>
      </c>
      <c r="J2590" s="14">
        <v>157.89588518735155</v>
      </c>
    </row>
    <row r="2591" spans="1:10" ht="15.75" x14ac:dyDescent="0.5">
      <c r="A2591" s="13" t="s">
        <v>372</v>
      </c>
      <c r="B2591" s="13" t="s">
        <v>405</v>
      </c>
      <c r="C2591" s="13" t="s">
        <v>400</v>
      </c>
      <c r="D2591" s="14">
        <v>1259.3891290889951</v>
      </c>
      <c r="E2591" s="14">
        <v>1450.4803465387035</v>
      </c>
      <c r="F2591" s="14">
        <v>1349.1801914000559</v>
      </c>
      <c r="G2591" s="14">
        <v>1307.3022119270429</v>
      </c>
      <c r="H2591" s="14">
        <v>1077.2515510266476</v>
      </c>
      <c r="I2591" s="14">
        <v>684.59208316870058</v>
      </c>
      <c r="J2591" s="14">
        <v>311.76846238030259</v>
      </c>
    </row>
    <row r="2592" spans="1:10" ht="15.75" x14ac:dyDescent="0.5">
      <c r="A2592" s="13" t="s">
        <v>372</v>
      </c>
      <c r="B2592" s="13" t="s">
        <v>406</v>
      </c>
      <c r="C2592" s="13" t="s">
        <v>400</v>
      </c>
      <c r="D2592" s="14">
        <v>23.479196814299335</v>
      </c>
      <c r="E2592" s="14">
        <v>33.708312568389744</v>
      </c>
      <c r="F2592" s="14">
        <v>43.787507981475962</v>
      </c>
      <c r="G2592" s="14">
        <v>42.67980902089375</v>
      </c>
      <c r="H2592" s="14">
        <v>37.434031843904627</v>
      </c>
      <c r="I2592" s="14">
        <v>34.139482360168984</v>
      </c>
      <c r="J2592" s="14">
        <v>24.067708493230569</v>
      </c>
    </row>
    <row r="2593" spans="1:10" ht="15.75" x14ac:dyDescent="0.5">
      <c r="A2593" s="13" t="s">
        <v>372</v>
      </c>
      <c r="B2593" s="13" t="s">
        <v>407</v>
      </c>
      <c r="C2593" s="13" t="s">
        <v>400</v>
      </c>
      <c r="D2593" s="14" t="s">
        <v>250</v>
      </c>
      <c r="E2593" s="14">
        <v>127.33560636241532</v>
      </c>
      <c r="F2593" s="14">
        <v>68.299133216766265</v>
      </c>
      <c r="G2593" s="14">
        <v>115.52612409832342</v>
      </c>
      <c r="H2593" s="14" t="s">
        <v>250</v>
      </c>
      <c r="I2593" s="14" t="s">
        <v>250</v>
      </c>
      <c r="J2593" s="14" t="s">
        <v>250</v>
      </c>
    </row>
    <row r="2594" spans="1:10" ht="15.75" x14ac:dyDescent="0.5">
      <c r="A2594" s="13" t="s">
        <v>372</v>
      </c>
      <c r="B2594" s="13" t="s">
        <v>408</v>
      </c>
      <c r="C2594" s="13" t="s">
        <v>400</v>
      </c>
      <c r="D2594" s="14">
        <v>46.892290321001219</v>
      </c>
      <c r="E2594" s="14">
        <v>29.674302030105149</v>
      </c>
      <c r="F2594" s="14">
        <v>22.236136797447195</v>
      </c>
      <c r="G2594" s="14">
        <v>35.248367984678332</v>
      </c>
      <c r="H2594" s="14">
        <v>36.382994684181597</v>
      </c>
      <c r="I2594" s="14">
        <v>19.038451525179312</v>
      </c>
      <c r="J2594" s="14">
        <v>29.557442295487199</v>
      </c>
    </row>
    <row r="2595" spans="1:10" ht="15.75" x14ac:dyDescent="0.5">
      <c r="A2595" s="13" t="s">
        <v>372</v>
      </c>
      <c r="B2595" s="13" t="s">
        <v>409</v>
      </c>
      <c r="C2595" s="13" t="s">
        <v>400</v>
      </c>
      <c r="D2595" s="14">
        <v>18.365704270000034</v>
      </c>
      <c r="E2595" s="14">
        <v>18.365704270000034</v>
      </c>
      <c r="F2595" s="14">
        <v>18.36570427000003</v>
      </c>
      <c r="G2595" s="14">
        <v>18.36570427000003</v>
      </c>
      <c r="H2595" s="14">
        <v>18.365704270000034</v>
      </c>
      <c r="I2595" s="14">
        <v>18.365704270000034</v>
      </c>
      <c r="J2595" s="14">
        <v>17.674442068306604</v>
      </c>
    </row>
    <row r="2596" spans="1:10" ht="15.75" x14ac:dyDescent="0.5">
      <c r="A2596" s="13" t="s">
        <v>372</v>
      </c>
      <c r="B2596" s="13" t="s">
        <v>410</v>
      </c>
      <c r="C2596" s="13" t="s">
        <v>400</v>
      </c>
      <c r="D2596" s="14">
        <v>245.79356253202215</v>
      </c>
      <c r="E2596" s="14">
        <v>244.61604808428217</v>
      </c>
      <c r="F2596" s="14">
        <v>246.02420155424969</v>
      </c>
      <c r="G2596" s="14">
        <v>246.16997594141418</v>
      </c>
      <c r="H2596" s="14">
        <v>246.16997594139133</v>
      </c>
      <c r="I2596" s="14">
        <v>246.16997594139153</v>
      </c>
      <c r="J2596" s="14">
        <v>245.6703809697122</v>
      </c>
    </row>
    <row r="2597" spans="1:10" ht="15.75" x14ac:dyDescent="0.5">
      <c r="A2597" s="13" t="s">
        <v>372</v>
      </c>
      <c r="B2597" s="13" t="s">
        <v>411</v>
      </c>
      <c r="C2597" s="13" t="s">
        <v>400</v>
      </c>
      <c r="D2597" s="14">
        <v>7.1394000000000153</v>
      </c>
      <c r="E2597" s="14">
        <v>3.559348905109498</v>
      </c>
      <c r="F2597" s="14" t="s">
        <v>250</v>
      </c>
      <c r="G2597" s="14" t="s">
        <v>250</v>
      </c>
      <c r="H2597" s="14" t="s">
        <v>250</v>
      </c>
      <c r="I2597" s="14" t="s">
        <v>250</v>
      </c>
      <c r="J2597" s="14" t="s">
        <v>250</v>
      </c>
    </row>
    <row r="2598" spans="1:10" ht="15.75" x14ac:dyDescent="0.5">
      <c r="A2598" s="13" t="s">
        <v>372</v>
      </c>
      <c r="B2598" s="13" t="s">
        <v>412</v>
      </c>
      <c r="C2598" s="13" t="s">
        <v>400</v>
      </c>
      <c r="D2598" s="14">
        <v>760.72545968400175</v>
      </c>
      <c r="E2598" s="14">
        <v>743.35081031356208</v>
      </c>
      <c r="F2598" s="14">
        <v>607.30149186452024</v>
      </c>
      <c r="G2598" s="14">
        <v>662.7241217051353</v>
      </c>
      <c r="H2598" s="14">
        <v>158.36497959622102</v>
      </c>
      <c r="I2598" s="14">
        <v>6.4680342804813922</v>
      </c>
      <c r="J2598" s="14">
        <v>10.01993328000002</v>
      </c>
    </row>
    <row r="2599" spans="1:10" ht="15.75" x14ac:dyDescent="0.5">
      <c r="A2599" s="13" t="s">
        <v>372</v>
      </c>
      <c r="B2599" s="13" t="s">
        <v>413</v>
      </c>
      <c r="C2599" s="13" t="s">
        <v>400</v>
      </c>
      <c r="D2599" s="14">
        <v>23.702927619886136</v>
      </c>
      <c r="E2599" s="14">
        <v>26.588083725143424</v>
      </c>
      <c r="F2599" s="14">
        <v>11.432393748482994</v>
      </c>
      <c r="G2599" s="14">
        <v>4.1575691875488623</v>
      </c>
      <c r="H2599" s="14">
        <v>1.7063576942071381</v>
      </c>
      <c r="I2599" s="14">
        <v>5.6687667534307691</v>
      </c>
      <c r="J2599" s="14">
        <v>0.34743678832116853</v>
      </c>
    </row>
    <row r="2600" spans="1:10" ht="15.75" x14ac:dyDescent="0.5">
      <c r="A2600" s="13" t="s">
        <v>372</v>
      </c>
      <c r="B2600" s="13" t="s">
        <v>414</v>
      </c>
      <c r="C2600" s="13" t="s">
        <v>400</v>
      </c>
      <c r="D2600" s="14">
        <v>0.68039077051095009</v>
      </c>
      <c r="E2600" s="14">
        <v>24.426397150733408</v>
      </c>
      <c r="F2600" s="14">
        <v>100.51423071385447</v>
      </c>
      <c r="G2600" s="14">
        <v>206.80695603878959</v>
      </c>
      <c r="H2600" s="14">
        <v>253.24823728694125</v>
      </c>
      <c r="I2600" s="14">
        <v>254.76769210310573</v>
      </c>
      <c r="J2600" s="14">
        <v>255.94424317963367</v>
      </c>
    </row>
    <row r="2601" spans="1:10" ht="15.75" x14ac:dyDescent="0.5">
      <c r="A2601" s="13" t="s">
        <v>372</v>
      </c>
      <c r="B2601" s="13" t="s">
        <v>415</v>
      </c>
      <c r="C2601" s="13" t="s">
        <v>400</v>
      </c>
      <c r="D2601" s="14">
        <v>440.53124483255544</v>
      </c>
      <c r="E2601" s="14">
        <v>873.81161676238287</v>
      </c>
      <c r="F2601" s="14">
        <v>1361.3506391897017</v>
      </c>
      <c r="G2601" s="14">
        <v>1461.0310703167424</v>
      </c>
      <c r="H2601" s="14">
        <v>2229.7069479125748</v>
      </c>
      <c r="I2601" s="14">
        <v>3621.0003701233659</v>
      </c>
      <c r="J2601" s="14">
        <v>3949.3121858532195</v>
      </c>
    </row>
    <row r="2602" spans="1:10" ht="15.75" x14ac:dyDescent="0.5">
      <c r="A2602" s="13" t="s">
        <v>372</v>
      </c>
      <c r="B2602" s="13" t="s">
        <v>416</v>
      </c>
      <c r="C2602" s="13" t="s">
        <v>400</v>
      </c>
      <c r="D2602" s="14" t="s">
        <v>250</v>
      </c>
      <c r="E2602" s="14">
        <v>70.934498682900724</v>
      </c>
      <c r="F2602" s="14">
        <v>100.195461227937</v>
      </c>
      <c r="G2602" s="14">
        <v>127.6934444772737</v>
      </c>
      <c r="H2602" s="14">
        <v>145.88323771792341</v>
      </c>
      <c r="I2602" s="14">
        <v>165.77906731373224</v>
      </c>
      <c r="J2602" s="14">
        <v>186.2865730549081</v>
      </c>
    </row>
    <row r="2603" spans="1:10" ht="15.75" x14ac:dyDescent="0.5">
      <c r="A2603" s="13" t="s">
        <v>372</v>
      </c>
      <c r="B2603" s="13" t="s">
        <v>417</v>
      </c>
      <c r="C2603" s="13" t="s">
        <v>400</v>
      </c>
      <c r="D2603" s="14">
        <v>187.48709633408691</v>
      </c>
      <c r="E2603" s="14">
        <v>298.36286233429831</v>
      </c>
      <c r="F2603" s="14">
        <v>339.94935565504676</v>
      </c>
      <c r="G2603" s="14">
        <v>1062.9070714671252</v>
      </c>
      <c r="H2603" s="14">
        <v>2862.2860521146245</v>
      </c>
      <c r="I2603" s="14">
        <v>4312.9959724642558</v>
      </c>
      <c r="J2603" s="14">
        <v>4476.1075926066196</v>
      </c>
    </row>
    <row r="2604" spans="1:10" ht="15.75" x14ac:dyDescent="0.5">
      <c r="A2604" s="13" t="s">
        <v>372</v>
      </c>
      <c r="B2604" s="13" t="s">
        <v>418</v>
      </c>
      <c r="C2604" s="13" t="s">
        <v>400</v>
      </c>
      <c r="D2604" s="14">
        <v>3.184175173101953</v>
      </c>
      <c r="E2604" s="14">
        <v>3.1841751731019534</v>
      </c>
      <c r="F2604" s="14">
        <v>3.1841751731019534</v>
      </c>
      <c r="G2604" s="14">
        <v>3.1841751731019534</v>
      </c>
      <c r="H2604" s="14">
        <v>3.1841751731019539</v>
      </c>
      <c r="I2604" s="14">
        <v>3.1841751731019534</v>
      </c>
      <c r="J2604" s="14">
        <v>3.1841751731019539</v>
      </c>
    </row>
    <row r="2605" spans="1:10" ht="15.75" x14ac:dyDescent="0.5">
      <c r="A2605" s="13" t="s">
        <v>372</v>
      </c>
      <c r="B2605" s="13" t="s">
        <v>419</v>
      </c>
      <c r="C2605" s="13" t="s">
        <v>400</v>
      </c>
      <c r="D2605" s="14">
        <v>0.54465920264079504</v>
      </c>
      <c r="E2605" s="14">
        <v>8.4606703837864394</v>
      </c>
      <c r="F2605" s="14">
        <v>68.782020752196374</v>
      </c>
      <c r="G2605" s="14">
        <v>214.06789733865853</v>
      </c>
      <c r="H2605" s="14">
        <v>1091.2759311108582</v>
      </c>
      <c r="I2605" s="14">
        <v>2200.4786153719642</v>
      </c>
      <c r="J2605" s="14">
        <v>2982.6343157682177</v>
      </c>
    </row>
    <row r="2606" spans="1:10" ht="15.75" x14ac:dyDescent="0.5">
      <c r="A2606" s="13" t="s">
        <v>372</v>
      </c>
      <c r="B2606" s="13" t="s">
        <v>420</v>
      </c>
      <c r="C2606" s="13" t="s">
        <v>400</v>
      </c>
      <c r="D2606" s="14">
        <v>-13.987252957808384</v>
      </c>
      <c r="E2606" s="14">
        <v>-13.637050130472723</v>
      </c>
      <c r="F2606" s="14">
        <v>-13.044050553664633</v>
      </c>
      <c r="G2606" s="14">
        <v>-11.531378092040741</v>
      </c>
      <c r="H2606" s="14">
        <v>-12.874464066365709</v>
      </c>
      <c r="I2606" s="14">
        <v>-16.465056103552548</v>
      </c>
      <c r="J2606" s="14">
        <v>-22.549575064641893</v>
      </c>
    </row>
    <row r="2607" spans="1:10" ht="15.75" x14ac:dyDescent="0.5">
      <c r="A2607" s="13" t="s">
        <v>373</v>
      </c>
      <c r="B2607" s="13" t="s">
        <v>399</v>
      </c>
      <c r="C2607" s="13" t="s">
        <v>400</v>
      </c>
      <c r="D2607" s="14">
        <v>7.2499064625597889</v>
      </c>
      <c r="E2607" s="14">
        <v>0.20898227163846722</v>
      </c>
      <c r="F2607" s="14">
        <v>0.51246000000000114</v>
      </c>
      <c r="G2607" s="14">
        <v>0.39560242335766499</v>
      </c>
      <c r="H2607" s="14">
        <v>0.33382248175182544</v>
      </c>
      <c r="I2607" s="14">
        <v>1.5084000000000024E-2</v>
      </c>
      <c r="J2607" s="14">
        <v>1.5968908029197104</v>
      </c>
    </row>
    <row r="2608" spans="1:10" ht="15.75" x14ac:dyDescent="0.5">
      <c r="A2608" s="13" t="s">
        <v>373</v>
      </c>
      <c r="B2608" s="13" t="s">
        <v>401</v>
      </c>
      <c r="C2608" s="13" t="s">
        <v>400</v>
      </c>
      <c r="D2608" s="14" t="s">
        <v>250</v>
      </c>
      <c r="E2608" s="14" t="s">
        <v>250</v>
      </c>
      <c r="F2608" s="14">
        <v>120.29957038964257</v>
      </c>
      <c r="G2608" s="14">
        <v>120.29957038964255</v>
      </c>
      <c r="H2608" s="14">
        <v>3.5150291011887407</v>
      </c>
      <c r="I2608" s="14" t="s">
        <v>250</v>
      </c>
      <c r="J2608" s="14" t="s">
        <v>250</v>
      </c>
    </row>
    <row r="2609" spans="1:10" ht="15.75" x14ac:dyDescent="0.5">
      <c r="A2609" s="13" t="s">
        <v>373</v>
      </c>
      <c r="B2609" s="13" t="s">
        <v>402</v>
      </c>
      <c r="C2609" s="13" t="s">
        <v>400</v>
      </c>
      <c r="D2609" s="14">
        <v>1072.9916742877463</v>
      </c>
      <c r="E2609" s="14">
        <v>275.21636986569422</v>
      </c>
      <c r="F2609" s="14">
        <v>133.6134379208263</v>
      </c>
      <c r="G2609" s="14">
        <v>98.274162322184296</v>
      </c>
      <c r="H2609" s="14">
        <v>43.401412327064101</v>
      </c>
      <c r="I2609" s="14">
        <v>19.436427098921403</v>
      </c>
      <c r="J2609" s="14" t="s">
        <v>250</v>
      </c>
    </row>
    <row r="2610" spans="1:10" ht="15.75" x14ac:dyDescent="0.5">
      <c r="A2610" s="13" t="s">
        <v>373</v>
      </c>
      <c r="B2610" s="13" t="s">
        <v>403</v>
      </c>
      <c r="C2610" s="13" t="s">
        <v>400</v>
      </c>
      <c r="D2610" s="14" t="s">
        <v>250</v>
      </c>
      <c r="E2610" s="14" t="s">
        <v>250</v>
      </c>
      <c r="F2610" s="14">
        <v>181.80824975456434</v>
      </c>
      <c r="G2610" s="14">
        <v>181.80824975456437</v>
      </c>
      <c r="H2610" s="14">
        <v>36.972227065758659</v>
      </c>
      <c r="I2610" s="14">
        <v>34.991903471284949</v>
      </c>
      <c r="J2610" s="14" t="s">
        <v>250</v>
      </c>
    </row>
    <row r="2611" spans="1:10" ht="15.75" x14ac:dyDescent="0.5">
      <c r="A2611" s="13" t="s">
        <v>373</v>
      </c>
      <c r="B2611" s="13" t="s">
        <v>421</v>
      </c>
      <c r="C2611" s="13" t="s">
        <v>400</v>
      </c>
      <c r="D2611" s="14" t="s">
        <v>250</v>
      </c>
      <c r="E2611" s="14" t="s">
        <v>250</v>
      </c>
      <c r="F2611" s="14" t="s">
        <v>250</v>
      </c>
      <c r="G2611" s="14">
        <v>90.418797853538578</v>
      </c>
      <c r="H2611" s="14">
        <v>243.63786715105903</v>
      </c>
      <c r="I2611" s="14">
        <v>240.83444179009084</v>
      </c>
      <c r="J2611" s="14">
        <v>157.89588541876293</v>
      </c>
    </row>
    <row r="2612" spans="1:10" ht="15.75" x14ac:dyDescent="0.5">
      <c r="A2612" s="13" t="s">
        <v>373</v>
      </c>
      <c r="B2612" s="13" t="s">
        <v>405</v>
      </c>
      <c r="C2612" s="13" t="s">
        <v>400</v>
      </c>
      <c r="D2612" s="14">
        <v>1259.3891290889953</v>
      </c>
      <c r="E2612" s="14">
        <v>1450.4803472257724</v>
      </c>
      <c r="F2612" s="14">
        <v>1349.1801894024622</v>
      </c>
      <c r="G2612" s="14">
        <v>1307.3022131626451</v>
      </c>
      <c r="H2612" s="14">
        <v>1077.2515502538809</v>
      </c>
      <c r="I2612" s="14">
        <v>684.59208244733543</v>
      </c>
      <c r="J2612" s="14">
        <v>311.76846207394124</v>
      </c>
    </row>
    <row r="2613" spans="1:10" ht="15.75" x14ac:dyDescent="0.5">
      <c r="A2613" s="13" t="s">
        <v>373</v>
      </c>
      <c r="B2613" s="13" t="s">
        <v>406</v>
      </c>
      <c r="C2613" s="13" t="s">
        <v>400</v>
      </c>
      <c r="D2613" s="14">
        <v>23.479196814299335</v>
      </c>
      <c r="E2613" s="14">
        <v>33.708312571337181</v>
      </c>
      <c r="F2613" s="14">
        <v>43.787507798354476</v>
      </c>
      <c r="G2613" s="14">
        <v>42.679809091647165</v>
      </c>
      <c r="H2613" s="14">
        <v>37.434031911529388</v>
      </c>
      <c r="I2613" s="14">
        <v>34.139482407004195</v>
      </c>
      <c r="J2613" s="14">
        <v>24.06770852092</v>
      </c>
    </row>
    <row r="2614" spans="1:10" ht="15.75" x14ac:dyDescent="0.5">
      <c r="A2614" s="13" t="s">
        <v>373</v>
      </c>
      <c r="B2614" s="13" t="s">
        <v>407</v>
      </c>
      <c r="C2614" s="13" t="s">
        <v>400</v>
      </c>
      <c r="D2614" s="14" t="s">
        <v>250</v>
      </c>
      <c r="E2614" s="14">
        <v>127.33560668197842</v>
      </c>
      <c r="F2614" s="14">
        <v>68.299135370584551</v>
      </c>
      <c r="G2614" s="14">
        <v>115.52612425492791</v>
      </c>
      <c r="H2614" s="14" t="s">
        <v>250</v>
      </c>
      <c r="I2614" s="14" t="s">
        <v>250</v>
      </c>
      <c r="J2614" s="14" t="s">
        <v>250</v>
      </c>
    </row>
    <row r="2615" spans="1:10" ht="15.75" x14ac:dyDescent="0.5">
      <c r="A2615" s="13" t="s">
        <v>373</v>
      </c>
      <c r="B2615" s="13" t="s">
        <v>408</v>
      </c>
      <c r="C2615" s="13" t="s">
        <v>400</v>
      </c>
      <c r="D2615" s="14">
        <v>46.892290321001227</v>
      </c>
      <c r="E2615" s="14">
        <v>29.674302056330831</v>
      </c>
      <c r="F2615" s="14">
        <v>22.236136599205359</v>
      </c>
      <c r="G2615" s="14">
        <v>35.248367984678332</v>
      </c>
      <c r="H2615" s="14">
        <v>36.382995234360664</v>
      </c>
      <c r="I2615" s="14">
        <v>19.03845099896186</v>
      </c>
      <c r="J2615" s="14">
        <v>29.557442323768484</v>
      </c>
    </row>
    <row r="2616" spans="1:10" ht="15.75" x14ac:dyDescent="0.5">
      <c r="A2616" s="13" t="s">
        <v>373</v>
      </c>
      <c r="B2616" s="13" t="s">
        <v>409</v>
      </c>
      <c r="C2616" s="13" t="s">
        <v>400</v>
      </c>
      <c r="D2616" s="14">
        <v>18.365704270000037</v>
      </c>
      <c r="E2616" s="14">
        <v>18.365704270000034</v>
      </c>
      <c r="F2616" s="14">
        <v>18.365704270000034</v>
      </c>
      <c r="G2616" s="14">
        <v>18.365704270000034</v>
      </c>
      <c r="H2616" s="14">
        <v>18.365704270000037</v>
      </c>
      <c r="I2616" s="14">
        <v>18.365704270000037</v>
      </c>
      <c r="J2616" s="14">
        <v>17.674442068306604</v>
      </c>
    </row>
    <row r="2617" spans="1:10" ht="15.75" x14ac:dyDescent="0.5">
      <c r="A2617" s="13" t="s">
        <v>373</v>
      </c>
      <c r="B2617" s="13" t="s">
        <v>410</v>
      </c>
      <c r="C2617" s="13" t="s">
        <v>400</v>
      </c>
      <c r="D2617" s="14">
        <v>245.79356253202212</v>
      </c>
      <c r="E2617" s="14">
        <v>244.61604808752094</v>
      </c>
      <c r="F2617" s="14">
        <v>246.02420155424574</v>
      </c>
      <c r="G2617" s="14">
        <v>246.16997594138837</v>
      </c>
      <c r="H2617" s="14">
        <v>246.16997594139724</v>
      </c>
      <c r="I2617" s="14">
        <v>246.1699759413911</v>
      </c>
      <c r="J2617" s="14">
        <v>245.67038096971231</v>
      </c>
    </row>
    <row r="2618" spans="1:10" ht="15.75" x14ac:dyDescent="0.5">
      <c r="A2618" s="13" t="s">
        <v>373</v>
      </c>
      <c r="B2618" s="13" t="s">
        <v>411</v>
      </c>
      <c r="C2618" s="13" t="s">
        <v>400</v>
      </c>
      <c r="D2618" s="14">
        <v>7.139400000000018</v>
      </c>
      <c r="E2618" s="14">
        <v>3.5593489051094971</v>
      </c>
      <c r="F2618" s="14" t="s">
        <v>250</v>
      </c>
      <c r="G2618" s="14" t="s">
        <v>250</v>
      </c>
      <c r="H2618" s="14" t="s">
        <v>250</v>
      </c>
      <c r="I2618" s="14" t="s">
        <v>250</v>
      </c>
      <c r="J2618" s="14" t="s">
        <v>250</v>
      </c>
    </row>
    <row r="2619" spans="1:10" ht="15.75" x14ac:dyDescent="0.5">
      <c r="A2619" s="13" t="s">
        <v>373</v>
      </c>
      <c r="B2619" s="13" t="s">
        <v>412</v>
      </c>
      <c r="C2619" s="13" t="s">
        <v>400</v>
      </c>
      <c r="D2619" s="14">
        <v>760.72545968400186</v>
      </c>
      <c r="E2619" s="14">
        <v>743.3508101834459</v>
      </c>
      <c r="F2619" s="14">
        <v>607.30149168323146</v>
      </c>
      <c r="G2619" s="14">
        <v>662.72412095278003</v>
      </c>
      <c r="H2619" s="14">
        <v>158.36497714978026</v>
      </c>
      <c r="I2619" s="14">
        <v>6.4680342804813886</v>
      </c>
      <c r="J2619" s="14">
        <v>10.019933280000021</v>
      </c>
    </row>
    <row r="2620" spans="1:10" ht="15.75" x14ac:dyDescent="0.5">
      <c r="A2620" s="13" t="s">
        <v>373</v>
      </c>
      <c r="B2620" s="13" t="s">
        <v>413</v>
      </c>
      <c r="C2620" s="13" t="s">
        <v>400</v>
      </c>
      <c r="D2620" s="14">
        <v>23.702927619886133</v>
      </c>
      <c r="E2620" s="14">
        <v>26.588083793939493</v>
      </c>
      <c r="F2620" s="14">
        <v>11.432393777733321</v>
      </c>
      <c r="G2620" s="14">
        <v>4.1575694189158217</v>
      </c>
      <c r="H2620" s="14">
        <v>1.7063586329823017</v>
      </c>
      <c r="I2620" s="14">
        <v>5.6687667277146279</v>
      </c>
      <c r="J2620" s="14">
        <v>0.34743678832116853</v>
      </c>
    </row>
    <row r="2621" spans="1:10" ht="15.75" x14ac:dyDescent="0.5">
      <c r="A2621" s="13" t="s">
        <v>373</v>
      </c>
      <c r="B2621" s="13" t="s">
        <v>414</v>
      </c>
      <c r="C2621" s="13" t="s">
        <v>400</v>
      </c>
      <c r="D2621" s="14">
        <v>0.68039077051095032</v>
      </c>
      <c r="E2621" s="14">
        <v>24.426397105307732</v>
      </c>
      <c r="F2621" s="14">
        <v>100.51423051150832</v>
      </c>
      <c r="G2621" s="14">
        <v>206.80695583117515</v>
      </c>
      <c r="H2621" s="14">
        <v>253.24823707746637</v>
      </c>
      <c r="I2621" s="14">
        <v>254.76769189224547</v>
      </c>
      <c r="J2621" s="14">
        <v>255.94424296770472</v>
      </c>
    </row>
    <row r="2622" spans="1:10" ht="15.75" x14ac:dyDescent="0.5">
      <c r="A2622" s="13" t="s">
        <v>373</v>
      </c>
      <c r="B2622" s="13" t="s">
        <v>415</v>
      </c>
      <c r="C2622" s="13" t="s">
        <v>400</v>
      </c>
      <c r="D2622" s="14">
        <v>440.53124483255567</v>
      </c>
      <c r="E2622" s="14">
        <v>873.81161676238287</v>
      </c>
      <c r="F2622" s="14">
        <v>1361.3506395779311</v>
      </c>
      <c r="G2622" s="14">
        <v>1461.0310736557726</v>
      </c>
      <c r="H2622" s="14">
        <v>2229.706950849687</v>
      </c>
      <c r="I2622" s="14">
        <v>3621.0003695636256</v>
      </c>
      <c r="J2622" s="14">
        <v>3949.31218486956</v>
      </c>
    </row>
    <row r="2623" spans="1:10" ht="15.75" x14ac:dyDescent="0.5">
      <c r="A2623" s="13" t="s">
        <v>373</v>
      </c>
      <c r="B2623" s="13" t="s">
        <v>416</v>
      </c>
      <c r="C2623" s="13" t="s">
        <v>400</v>
      </c>
      <c r="D2623" s="14" t="s">
        <v>250</v>
      </c>
      <c r="E2623" s="14">
        <v>70.934498682900738</v>
      </c>
      <c r="F2623" s="14">
        <v>100.195461227937</v>
      </c>
      <c r="G2623" s="14">
        <v>127.69344447727372</v>
      </c>
      <c r="H2623" s="14">
        <v>145.88323771792346</v>
      </c>
      <c r="I2623" s="14">
        <v>165.77906731373233</v>
      </c>
      <c r="J2623" s="14">
        <v>186.28657305490808</v>
      </c>
    </row>
    <row r="2624" spans="1:10" ht="15.75" x14ac:dyDescent="0.5">
      <c r="A2624" s="13" t="s">
        <v>373</v>
      </c>
      <c r="B2624" s="13" t="s">
        <v>417</v>
      </c>
      <c r="C2624" s="13" t="s">
        <v>400</v>
      </c>
      <c r="D2624" s="14">
        <v>187.48709633408689</v>
      </c>
      <c r="E2624" s="14">
        <v>298.36286233429848</v>
      </c>
      <c r="F2624" s="14">
        <v>339.94935565504693</v>
      </c>
      <c r="G2624" s="14">
        <v>1062.9070681022959</v>
      </c>
      <c r="H2624" s="14">
        <v>2862.2860547566643</v>
      </c>
      <c r="I2624" s="14">
        <v>4312.9959708267952</v>
      </c>
      <c r="J2624" s="14">
        <v>4476.1075893448296</v>
      </c>
    </row>
    <row r="2625" spans="1:10" ht="15.75" x14ac:dyDescent="0.5">
      <c r="A2625" s="13" t="s">
        <v>373</v>
      </c>
      <c r="B2625" s="13" t="s">
        <v>418</v>
      </c>
      <c r="C2625" s="13" t="s">
        <v>400</v>
      </c>
      <c r="D2625" s="14">
        <v>3.1841751731019534</v>
      </c>
      <c r="E2625" s="14">
        <v>3.184175173101953</v>
      </c>
      <c r="F2625" s="14">
        <v>3.1841751731019534</v>
      </c>
      <c r="G2625" s="14">
        <v>3.184175173101953</v>
      </c>
      <c r="H2625" s="14">
        <v>3.184175173101953</v>
      </c>
      <c r="I2625" s="14">
        <v>3.1841751731019534</v>
      </c>
      <c r="J2625" s="14">
        <v>3.1841751731019534</v>
      </c>
    </row>
    <row r="2626" spans="1:10" ht="15.75" x14ac:dyDescent="0.5">
      <c r="A2626" s="13" t="s">
        <v>373</v>
      </c>
      <c r="B2626" s="13" t="s">
        <v>419</v>
      </c>
      <c r="C2626" s="13" t="s">
        <v>400</v>
      </c>
      <c r="D2626" s="14">
        <v>0.54465920264079504</v>
      </c>
      <c r="E2626" s="14">
        <v>8.4606703009973199</v>
      </c>
      <c r="F2626" s="14">
        <v>68.782022526891026</v>
      </c>
      <c r="G2626" s="14">
        <v>214.06789502651802</v>
      </c>
      <c r="H2626" s="14">
        <v>1091.2777235060091</v>
      </c>
      <c r="I2626" s="14">
        <v>2200.5252105023496</v>
      </c>
      <c r="J2626" s="14">
        <v>2981.1613501674224</v>
      </c>
    </row>
    <row r="2627" spans="1:10" ht="15.75" x14ac:dyDescent="0.5">
      <c r="A2627" s="13" t="s">
        <v>373</v>
      </c>
      <c r="B2627" s="13" t="s">
        <v>420</v>
      </c>
      <c r="C2627" s="13" t="s">
        <v>400</v>
      </c>
      <c r="D2627" s="14">
        <v>-13.98725295780841</v>
      </c>
      <c r="E2627" s="14">
        <v>-13.63705006760474</v>
      </c>
      <c r="F2627" s="14">
        <v>-13.041608186632157</v>
      </c>
      <c r="G2627" s="14">
        <v>-11.531378218650982</v>
      </c>
      <c r="H2627" s="14">
        <v>-12.874508802228924</v>
      </c>
      <c r="I2627" s="14">
        <v>-16.486333399295148</v>
      </c>
      <c r="J2627" s="14">
        <v>-22.493007430570927</v>
      </c>
    </row>
    <row r="2628" spans="1:10" ht="15.75" x14ac:dyDescent="0.5">
      <c r="A2628" s="13" t="s">
        <v>374</v>
      </c>
      <c r="B2628" s="13" t="s">
        <v>399</v>
      </c>
      <c r="C2628" s="13" t="s">
        <v>400</v>
      </c>
      <c r="D2628" s="14">
        <v>7.2499064625597898</v>
      </c>
      <c r="E2628" s="14">
        <v>0.2089822716384836</v>
      </c>
      <c r="F2628" s="14">
        <v>0.51246000000000125</v>
      </c>
      <c r="G2628" s="14">
        <v>0.39560242335766493</v>
      </c>
      <c r="H2628" s="14">
        <v>0.34111445255474515</v>
      </c>
      <c r="I2628" s="14">
        <v>1.5084000000000024E-2</v>
      </c>
      <c r="J2628" s="14">
        <v>1.3089998540146004</v>
      </c>
    </row>
    <row r="2629" spans="1:10" ht="15.75" x14ac:dyDescent="0.5">
      <c r="A2629" s="13" t="s">
        <v>374</v>
      </c>
      <c r="B2629" s="13" t="s">
        <v>401</v>
      </c>
      <c r="C2629" s="13" t="s">
        <v>400</v>
      </c>
      <c r="D2629" s="14" t="s">
        <v>250</v>
      </c>
      <c r="E2629" s="14" t="s">
        <v>250</v>
      </c>
      <c r="F2629" s="14">
        <v>120.50222194193171</v>
      </c>
      <c r="G2629" s="14">
        <v>120.50222194193174</v>
      </c>
      <c r="H2629" s="14">
        <v>3.5167153548634591</v>
      </c>
      <c r="I2629" s="14" t="s">
        <v>250</v>
      </c>
      <c r="J2629" s="14" t="s">
        <v>250</v>
      </c>
    </row>
    <row r="2630" spans="1:10" ht="15.75" x14ac:dyDescent="0.5">
      <c r="A2630" s="13" t="s">
        <v>374</v>
      </c>
      <c r="B2630" s="13" t="s">
        <v>402</v>
      </c>
      <c r="C2630" s="13" t="s">
        <v>400</v>
      </c>
      <c r="D2630" s="14">
        <v>1072.9916742877463</v>
      </c>
      <c r="E2630" s="14">
        <v>275.28232964547806</v>
      </c>
      <c r="F2630" s="14">
        <v>133.57238670383285</v>
      </c>
      <c r="G2630" s="14">
        <v>97.647937617247052</v>
      </c>
      <c r="H2630" s="14">
        <v>38.3948646990561</v>
      </c>
      <c r="I2630" s="14">
        <v>18.273168992075384</v>
      </c>
      <c r="J2630" s="14" t="s">
        <v>250</v>
      </c>
    </row>
    <row r="2631" spans="1:10" ht="15.75" x14ac:dyDescent="0.5">
      <c r="A2631" s="13" t="s">
        <v>374</v>
      </c>
      <c r="B2631" s="13" t="s">
        <v>403</v>
      </c>
      <c r="C2631" s="13" t="s">
        <v>400</v>
      </c>
      <c r="D2631" s="14" t="s">
        <v>250</v>
      </c>
      <c r="E2631" s="14" t="s">
        <v>250</v>
      </c>
      <c r="F2631" s="14">
        <v>193.77892131997791</v>
      </c>
      <c r="G2631" s="14">
        <v>193.77892131997791</v>
      </c>
      <c r="H2631" s="14">
        <v>39.810334027820915</v>
      </c>
      <c r="I2631" s="14">
        <v>37.441857676588384</v>
      </c>
      <c r="J2631" s="14" t="s">
        <v>250</v>
      </c>
    </row>
    <row r="2632" spans="1:10" ht="15.75" x14ac:dyDescent="0.5">
      <c r="A2632" s="13" t="s">
        <v>374</v>
      </c>
      <c r="B2632" s="13" t="s">
        <v>421</v>
      </c>
      <c r="C2632" s="13" t="s">
        <v>400</v>
      </c>
      <c r="D2632" s="14" t="s">
        <v>250</v>
      </c>
      <c r="E2632" s="14" t="s">
        <v>250</v>
      </c>
      <c r="F2632" s="14" t="s">
        <v>250</v>
      </c>
      <c r="G2632" s="14">
        <v>73.142202258934759</v>
      </c>
      <c r="H2632" s="14">
        <v>197.08355596945898</v>
      </c>
      <c r="I2632" s="14">
        <v>194.57379160186079</v>
      </c>
      <c r="J2632" s="14">
        <v>110.35461609700174</v>
      </c>
    </row>
    <row r="2633" spans="1:10" ht="15.75" x14ac:dyDescent="0.5">
      <c r="A2633" s="13" t="s">
        <v>374</v>
      </c>
      <c r="B2633" s="13" t="s">
        <v>405</v>
      </c>
      <c r="C2633" s="13" t="s">
        <v>400</v>
      </c>
      <c r="D2633" s="14">
        <v>1259.3891290889944</v>
      </c>
      <c r="E2633" s="14">
        <v>1450.2726142443112</v>
      </c>
      <c r="F2633" s="14">
        <v>1339.6735689825234</v>
      </c>
      <c r="G2633" s="14">
        <v>1308.6396381540428</v>
      </c>
      <c r="H2633" s="14">
        <v>1092.9382707418406</v>
      </c>
      <c r="I2633" s="14">
        <v>689.19472425501601</v>
      </c>
      <c r="J2633" s="14">
        <v>307.77244092186385</v>
      </c>
    </row>
    <row r="2634" spans="1:10" ht="15.75" x14ac:dyDescent="0.5">
      <c r="A2634" s="13" t="s">
        <v>374</v>
      </c>
      <c r="B2634" s="13" t="s">
        <v>406</v>
      </c>
      <c r="C2634" s="13" t="s">
        <v>400</v>
      </c>
      <c r="D2634" s="14">
        <v>23.479196814299328</v>
      </c>
      <c r="E2634" s="14">
        <v>33.573751362337845</v>
      </c>
      <c r="F2634" s="14">
        <v>43.804317743572007</v>
      </c>
      <c r="G2634" s="14">
        <v>42.687997328935431</v>
      </c>
      <c r="H2634" s="14">
        <v>37.517911872156461</v>
      </c>
      <c r="I2634" s="14">
        <v>34.629407943105775</v>
      </c>
      <c r="J2634" s="14">
        <v>25.489159727448207</v>
      </c>
    </row>
    <row r="2635" spans="1:10" ht="15.75" x14ac:dyDescent="0.5">
      <c r="A2635" s="13" t="s">
        <v>374</v>
      </c>
      <c r="B2635" s="13" t="s">
        <v>407</v>
      </c>
      <c r="C2635" s="13" t="s">
        <v>400</v>
      </c>
      <c r="D2635" s="14" t="s">
        <v>250</v>
      </c>
      <c r="E2635" s="14">
        <v>127.48467910550973</v>
      </c>
      <c r="F2635" s="14">
        <v>67.848470707825641</v>
      </c>
      <c r="G2635" s="14">
        <v>116.1420474382895</v>
      </c>
      <c r="H2635" s="14" t="s">
        <v>250</v>
      </c>
      <c r="I2635" s="14" t="s">
        <v>250</v>
      </c>
      <c r="J2635" s="14" t="s">
        <v>250</v>
      </c>
    </row>
    <row r="2636" spans="1:10" ht="15.75" x14ac:dyDescent="0.5">
      <c r="A2636" s="13" t="s">
        <v>374</v>
      </c>
      <c r="B2636" s="13" t="s">
        <v>408</v>
      </c>
      <c r="C2636" s="13" t="s">
        <v>400</v>
      </c>
      <c r="D2636" s="14">
        <v>46.892290321001219</v>
      </c>
      <c r="E2636" s="14">
        <v>29.688091498858121</v>
      </c>
      <c r="F2636" s="14">
        <v>22.113761094173736</v>
      </c>
      <c r="G2636" s="14">
        <v>35.223018491142859</v>
      </c>
      <c r="H2636" s="14">
        <v>37.532421506038112</v>
      </c>
      <c r="I2636" s="14">
        <v>20.260182163210995</v>
      </c>
      <c r="J2636" s="14">
        <v>29.251398548899356</v>
      </c>
    </row>
    <row r="2637" spans="1:10" ht="15.75" x14ac:dyDescent="0.5">
      <c r="A2637" s="13" t="s">
        <v>374</v>
      </c>
      <c r="B2637" s="13" t="s">
        <v>409</v>
      </c>
      <c r="C2637" s="13" t="s">
        <v>400</v>
      </c>
      <c r="D2637" s="14">
        <v>18.365704270000034</v>
      </c>
      <c r="E2637" s="14">
        <v>18.36570427000003</v>
      </c>
      <c r="F2637" s="14">
        <v>18.365704270000027</v>
      </c>
      <c r="G2637" s="14">
        <v>18.365704270000034</v>
      </c>
      <c r="H2637" s="14">
        <v>18.365704270000034</v>
      </c>
      <c r="I2637" s="14">
        <v>18.365704270000034</v>
      </c>
      <c r="J2637" s="14">
        <v>17.674442068306607</v>
      </c>
    </row>
    <row r="2638" spans="1:10" ht="15.75" x14ac:dyDescent="0.5">
      <c r="A2638" s="13" t="s">
        <v>374</v>
      </c>
      <c r="B2638" s="13" t="s">
        <v>410</v>
      </c>
      <c r="C2638" s="13" t="s">
        <v>400</v>
      </c>
      <c r="D2638" s="14">
        <v>245.79356253202215</v>
      </c>
      <c r="E2638" s="14">
        <v>244.61816582120679</v>
      </c>
      <c r="F2638" s="14">
        <v>246.02420087778222</v>
      </c>
      <c r="G2638" s="14">
        <v>246.16997594138897</v>
      </c>
      <c r="H2638" s="14">
        <v>246.1699759411753</v>
      </c>
      <c r="I2638" s="14">
        <v>246.16997594138846</v>
      </c>
      <c r="J2638" s="14">
        <v>245.75534936182899</v>
      </c>
    </row>
    <row r="2639" spans="1:10" ht="15.75" x14ac:dyDescent="0.5">
      <c r="A2639" s="13" t="s">
        <v>374</v>
      </c>
      <c r="B2639" s="13" t="s">
        <v>411</v>
      </c>
      <c r="C2639" s="13" t="s">
        <v>400</v>
      </c>
      <c r="D2639" s="14">
        <v>7.1394000000000144</v>
      </c>
      <c r="E2639" s="14">
        <v>3.5593489051094975</v>
      </c>
      <c r="F2639" s="14" t="s">
        <v>250</v>
      </c>
      <c r="G2639" s="14" t="s">
        <v>250</v>
      </c>
      <c r="H2639" s="14" t="s">
        <v>250</v>
      </c>
      <c r="I2639" s="14" t="s">
        <v>250</v>
      </c>
      <c r="J2639" s="14" t="s">
        <v>250</v>
      </c>
    </row>
    <row r="2640" spans="1:10" ht="15.75" x14ac:dyDescent="0.5">
      <c r="A2640" s="13" t="s">
        <v>374</v>
      </c>
      <c r="B2640" s="13" t="s">
        <v>412</v>
      </c>
      <c r="C2640" s="13" t="s">
        <v>400</v>
      </c>
      <c r="D2640" s="14">
        <v>760.72545968400186</v>
      </c>
      <c r="E2640" s="14">
        <v>743.3340201624502</v>
      </c>
      <c r="F2640" s="14">
        <v>605.65879603528572</v>
      </c>
      <c r="G2640" s="14">
        <v>661.09565304380897</v>
      </c>
      <c r="H2640" s="14">
        <v>148.23787531096121</v>
      </c>
      <c r="I2640" s="14">
        <v>7.232854487154623</v>
      </c>
      <c r="J2640" s="14">
        <v>146.69310812355113</v>
      </c>
    </row>
    <row r="2641" spans="1:10" ht="15.75" x14ac:dyDescent="0.5">
      <c r="A2641" s="13" t="s">
        <v>374</v>
      </c>
      <c r="B2641" s="13" t="s">
        <v>413</v>
      </c>
      <c r="C2641" s="13" t="s">
        <v>400</v>
      </c>
      <c r="D2641" s="14">
        <v>23.702927619886143</v>
      </c>
      <c r="E2641" s="14">
        <v>26.725484251054514</v>
      </c>
      <c r="F2641" s="14">
        <v>11.463939954079272</v>
      </c>
      <c r="G2641" s="14">
        <v>4.1287017621825965</v>
      </c>
      <c r="H2641" s="14">
        <v>1.6632299536730397</v>
      </c>
      <c r="I2641" s="14">
        <v>5.2597260566813899</v>
      </c>
      <c r="J2641" s="14">
        <v>0.32268744525547505</v>
      </c>
    </row>
    <row r="2642" spans="1:10" ht="15.75" x14ac:dyDescent="0.5">
      <c r="A2642" s="13" t="s">
        <v>374</v>
      </c>
      <c r="B2642" s="13" t="s">
        <v>414</v>
      </c>
      <c r="C2642" s="13" t="s">
        <v>400</v>
      </c>
      <c r="D2642" s="14">
        <v>0.6803907705109502</v>
      </c>
      <c r="E2642" s="14">
        <v>24.430741770773714</v>
      </c>
      <c r="F2642" s="14">
        <v>100.5229756829094</v>
      </c>
      <c r="G2642" s="14">
        <v>206.79761879622282</v>
      </c>
      <c r="H2642" s="14">
        <v>253.23881637413604</v>
      </c>
      <c r="I2642" s="14">
        <v>254.75820888267623</v>
      </c>
      <c r="J2642" s="14">
        <v>255.93471189332249</v>
      </c>
    </row>
    <row r="2643" spans="1:10" ht="15.75" x14ac:dyDescent="0.5">
      <c r="A2643" s="13" t="s">
        <v>374</v>
      </c>
      <c r="B2643" s="13" t="s">
        <v>415</v>
      </c>
      <c r="C2643" s="13" t="s">
        <v>400</v>
      </c>
      <c r="D2643" s="14">
        <v>440.5312448325555</v>
      </c>
      <c r="E2643" s="14">
        <v>873.81161688451357</v>
      </c>
      <c r="F2643" s="14">
        <v>1361.1679052863176</v>
      </c>
      <c r="G2643" s="14">
        <v>1464.0358541061962</v>
      </c>
      <c r="H2643" s="14">
        <v>2250.160711999808</v>
      </c>
      <c r="I2643" s="14">
        <v>3617.6371310172572</v>
      </c>
      <c r="J2643" s="14">
        <v>3872.4562862388511</v>
      </c>
    </row>
    <row r="2644" spans="1:10" ht="15.75" x14ac:dyDescent="0.5">
      <c r="A2644" s="13" t="s">
        <v>374</v>
      </c>
      <c r="B2644" s="13" t="s">
        <v>416</v>
      </c>
      <c r="C2644" s="13" t="s">
        <v>400</v>
      </c>
      <c r="D2644" s="14" t="s">
        <v>250</v>
      </c>
      <c r="E2644" s="14">
        <v>70.934498682900724</v>
      </c>
      <c r="F2644" s="14">
        <v>100.19546122793697</v>
      </c>
      <c r="G2644" s="14">
        <v>127.69344447727373</v>
      </c>
      <c r="H2644" s="14">
        <v>145.88323771792346</v>
      </c>
      <c r="I2644" s="14">
        <v>165.77906731373224</v>
      </c>
      <c r="J2644" s="14">
        <v>186.28657305490796</v>
      </c>
    </row>
    <row r="2645" spans="1:10" ht="15.75" x14ac:dyDescent="0.5">
      <c r="A2645" s="13" t="s">
        <v>374</v>
      </c>
      <c r="B2645" s="13" t="s">
        <v>417</v>
      </c>
      <c r="C2645" s="13" t="s">
        <v>400</v>
      </c>
      <c r="D2645" s="14">
        <v>187.48709633408697</v>
      </c>
      <c r="E2645" s="14">
        <v>298.36286233429837</v>
      </c>
      <c r="F2645" s="14">
        <v>339.9493556550471</v>
      </c>
      <c r="G2645" s="14">
        <v>1064.8022892547401</v>
      </c>
      <c r="H2645" s="14">
        <v>2887.2733919040434</v>
      </c>
      <c r="I2645" s="14">
        <v>4270.3733131933968</v>
      </c>
      <c r="J2645" s="14">
        <v>4414.7574960770271</v>
      </c>
    </row>
    <row r="2646" spans="1:10" ht="15.75" x14ac:dyDescent="0.5">
      <c r="A2646" s="13" t="s">
        <v>374</v>
      </c>
      <c r="B2646" s="13" t="s">
        <v>418</v>
      </c>
      <c r="C2646" s="13" t="s">
        <v>400</v>
      </c>
      <c r="D2646" s="14">
        <v>3.1841751731019534</v>
      </c>
      <c r="E2646" s="14">
        <v>3.1841751731019539</v>
      </c>
      <c r="F2646" s="14">
        <v>3.1841751731019534</v>
      </c>
      <c r="G2646" s="14">
        <v>3.1841751731019534</v>
      </c>
      <c r="H2646" s="14">
        <v>3.1841751731019534</v>
      </c>
      <c r="I2646" s="14">
        <v>3.184175173101953</v>
      </c>
      <c r="J2646" s="14">
        <v>3.1841751731019539</v>
      </c>
    </row>
    <row r="2647" spans="1:10" ht="15.75" x14ac:dyDescent="0.5">
      <c r="A2647" s="13" t="s">
        <v>374</v>
      </c>
      <c r="B2647" s="13" t="s">
        <v>419</v>
      </c>
      <c r="C2647" s="13" t="s">
        <v>400</v>
      </c>
      <c r="D2647" s="14">
        <v>0.54465920264079504</v>
      </c>
      <c r="E2647" s="14">
        <v>8.5361665229371333</v>
      </c>
      <c r="F2647" s="14">
        <v>68.084582986113048</v>
      </c>
      <c r="G2647" s="14">
        <v>216.20989399995989</v>
      </c>
      <c r="H2647" s="14">
        <v>1115.2346486466229</v>
      </c>
      <c r="I2647" s="14">
        <v>2221.0362508782205</v>
      </c>
      <c r="J2647" s="14">
        <v>2838.3433546319534</v>
      </c>
    </row>
    <row r="2648" spans="1:10" ht="15.75" x14ac:dyDescent="0.5">
      <c r="A2648" s="13" t="s">
        <v>374</v>
      </c>
      <c r="B2648" s="13" t="s">
        <v>420</v>
      </c>
      <c r="C2648" s="13" t="s">
        <v>400</v>
      </c>
      <c r="D2648" s="14">
        <v>-13.987252957808394</v>
      </c>
      <c r="E2648" s="14">
        <v>-13.592926184874253</v>
      </c>
      <c r="F2648" s="14">
        <v>-13.113772881565215</v>
      </c>
      <c r="G2648" s="14">
        <v>-11.534424267138697</v>
      </c>
      <c r="H2648" s="14">
        <v>-12.810166096194298</v>
      </c>
      <c r="I2648" s="14">
        <v>-16.495365165502832</v>
      </c>
      <c r="J2648" s="14">
        <v>-22.003561195246654</v>
      </c>
    </row>
    <row r="2649" spans="1:10" ht="15.75" x14ac:dyDescent="0.5">
      <c r="A2649" s="13" t="s">
        <v>375</v>
      </c>
      <c r="B2649" s="13" t="s">
        <v>399</v>
      </c>
      <c r="C2649" s="13" t="s">
        <v>400</v>
      </c>
      <c r="D2649" s="14">
        <v>7.2499064625597898</v>
      </c>
      <c r="E2649" s="14">
        <v>0.20898189426952229</v>
      </c>
      <c r="F2649" s="14">
        <v>0.51246000000000103</v>
      </c>
      <c r="G2649" s="14">
        <v>0.30487979562043854</v>
      </c>
      <c r="H2649" s="14" t="s">
        <v>250</v>
      </c>
      <c r="I2649" s="14" t="s">
        <v>250</v>
      </c>
      <c r="J2649" s="14">
        <v>1.089546218978104</v>
      </c>
    </row>
    <row r="2650" spans="1:10" ht="15.75" x14ac:dyDescent="0.5">
      <c r="A2650" s="13" t="s">
        <v>375</v>
      </c>
      <c r="B2650" s="13" t="s">
        <v>401</v>
      </c>
      <c r="C2650" s="13" t="s">
        <v>400</v>
      </c>
      <c r="D2650" s="14" t="s">
        <v>250</v>
      </c>
      <c r="E2650" s="14" t="s">
        <v>250</v>
      </c>
      <c r="F2650" s="14">
        <v>97.095411908186833</v>
      </c>
      <c r="G2650" s="14">
        <v>97.095411908186861</v>
      </c>
      <c r="H2650" s="14">
        <v>5.6465859045693119</v>
      </c>
      <c r="I2650" s="14" t="s">
        <v>250</v>
      </c>
      <c r="J2650" s="14" t="s">
        <v>250</v>
      </c>
    </row>
    <row r="2651" spans="1:10" ht="15.75" x14ac:dyDescent="0.5">
      <c r="A2651" s="13" t="s">
        <v>375</v>
      </c>
      <c r="B2651" s="13" t="s">
        <v>402</v>
      </c>
      <c r="C2651" s="13" t="s">
        <v>400</v>
      </c>
      <c r="D2651" s="14">
        <v>1072.9916742877467</v>
      </c>
      <c r="E2651" s="14">
        <v>276.80842363329339</v>
      </c>
      <c r="F2651" s="14">
        <v>142.61148163108223</v>
      </c>
      <c r="G2651" s="14">
        <v>111.48648383383758</v>
      </c>
      <c r="H2651" s="14">
        <v>85.759583224027139</v>
      </c>
      <c r="I2651" s="14">
        <v>28.427244138339574</v>
      </c>
      <c r="J2651" s="14" t="s">
        <v>250</v>
      </c>
    </row>
    <row r="2652" spans="1:10" ht="15.75" x14ac:dyDescent="0.5">
      <c r="A2652" s="13" t="s">
        <v>375</v>
      </c>
      <c r="B2652" s="13" t="s">
        <v>403</v>
      </c>
      <c r="C2652" s="13" t="s">
        <v>400</v>
      </c>
      <c r="D2652" s="14" t="s">
        <v>250</v>
      </c>
      <c r="E2652" s="14" t="s">
        <v>250</v>
      </c>
      <c r="F2652" s="14">
        <v>132.2871557413018</v>
      </c>
      <c r="G2652" s="14">
        <v>132.28715574130183</v>
      </c>
      <c r="H2652" s="14">
        <v>26.912282420276959</v>
      </c>
      <c r="I2652" s="14">
        <v>23.511649860135009</v>
      </c>
      <c r="J2652" s="14" t="s">
        <v>250</v>
      </c>
    </row>
    <row r="2653" spans="1:10" ht="15.75" x14ac:dyDescent="0.5">
      <c r="A2653" s="13" t="s">
        <v>375</v>
      </c>
      <c r="B2653" s="13" t="s">
        <v>421</v>
      </c>
      <c r="C2653" s="13" t="s">
        <v>400</v>
      </c>
      <c r="D2653" s="14" t="s">
        <v>250</v>
      </c>
      <c r="E2653" s="14" t="s">
        <v>250</v>
      </c>
      <c r="F2653" s="14" t="s">
        <v>250</v>
      </c>
      <c r="G2653" s="14">
        <v>284.91854484206681</v>
      </c>
      <c r="H2653" s="14">
        <v>767.75428159713601</v>
      </c>
      <c r="I2653" s="14">
        <v>758.02978064156889</v>
      </c>
      <c r="J2653" s="14">
        <v>413.18677418331595</v>
      </c>
    </row>
    <row r="2654" spans="1:10" ht="15.75" x14ac:dyDescent="0.5">
      <c r="A2654" s="13" t="s">
        <v>375</v>
      </c>
      <c r="B2654" s="13" t="s">
        <v>405</v>
      </c>
      <c r="C2654" s="13" t="s">
        <v>400</v>
      </c>
      <c r="D2654" s="14">
        <v>1259.389129088994</v>
      </c>
      <c r="E2654" s="14">
        <v>1452.1065537896666</v>
      </c>
      <c r="F2654" s="14">
        <v>1409.2543447114313</v>
      </c>
      <c r="G2654" s="14">
        <v>1286.0007823549395</v>
      </c>
      <c r="H2654" s="14">
        <v>932.96613829832268</v>
      </c>
      <c r="I2654" s="14">
        <v>529.31548296892856</v>
      </c>
      <c r="J2654" s="14">
        <v>292.75117051261225</v>
      </c>
    </row>
    <row r="2655" spans="1:10" ht="15.75" x14ac:dyDescent="0.5">
      <c r="A2655" s="13" t="s">
        <v>375</v>
      </c>
      <c r="B2655" s="13" t="s">
        <v>406</v>
      </c>
      <c r="C2655" s="13" t="s">
        <v>400</v>
      </c>
      <c r="D2655" s="14">
        <v>23.479196814299332</v>
      </c>
      <c r="E2655" s="14">
        <v>33.978252999762773</v>
      </c>
      <c r="F2655" s="14">
        <v>44.716528902026468</v>
      </c>
      <c r="G2655" s="14">
        <v>42.168907692943151</v>
      </c>
      <c r="H2655" s="14">
        <v>38.676861184719826</v>
      </c>
      <c r="I2655" s="14">
        <v>32.445176983250086</v>
      </c>
      <c r="J2655" s="14">
        <v>26.390893802998349</v>
      </c>
    </row>
    <row r="2656" spans="1:10" ht="15.75" x14ac:dyDescent="0.5">
      <c r="A2656" s="13" t="s">
        <v>375</v>
      </c>
      <c r="B2656" s="13" t="s">
        <v>407</v>
      </c>
      <c r="C2656" s="13" t="s">
        <v>400</v>
      </c>
      <c r="D2656" s="14" t="s">
        <v>250</v>
      </c>
      <c r="E2656" s="14">
        <v>122.69386597620583</v>
      </c>
      <c r="F2656" s="14">
        <v>71.65787561352434</v>
      </c>
      <c r="G2656" s="14">
        <v>106.99929578866617</v>
      </c>
      <c r="H2656" s="14" t="s">
        <v>250</v>
      </c>
      <c r="I2656" s="14" t="s">
        <v>250</v>
      </c>
      <c r="J2656" s="14" t="s">
        <v>250</v>
      </c>
    </row>
    <row r="2657" spans="1:10" ht="15.75" x14ac:dyDescent="0.5">
      <c r="A2657" s="13" t="s">
        <v>375</v>
      </c>
      <c r="B2657" s="13" t="s">
        <v>408</v>
      </c>
      <c r="C2657" s="13" t="s">
        <v>400</v>
      </c>
      <c r="D2657" s="14">
        <v>46.892290321001234</v>
      </c>
      <c r="E2657" s="14">
        <v>29.852049397221403</v>
      </c>
      <c r="F2657" s="14">
        <v>22.4240790701907</v>
      </c>
      <c r="G2657" s="14">
        <v>33.291193038447069</v>
      </c>
      <c r="H2657" s="14">
        <v>23.286078368329466</v>
      </c>
      <c r="I2657" s="14">
        <v>14.299583488901824</v>
      </c>
      <c r="J2657" s="14">
        <v>30.184471788462137</v>
      </c>
    </row>
    <row r="2658" spans="1:10" ht="15.75" x14ac:dyDescent="0.5">
      <c r="A2658" s="13" t="s">
        <v>375</v>
      </c>
      <c r="B2658" s="13" t="s">
        <v>409</v>
      </c>
      <c r="C2658" s="13" t="s">
        <v>400</v>
      </c>
      <c r="D2658" s="14">
        <v>18.365704270000034</v>
      </c>
      <c r="E2658" s="14">
        <v>18.365704270000037</v>
      </c>
      <c r="F2658" s="14">
        <v>18.365704270000037</v>
      </c>
      <c r="G2658" s="14">
        <v>18.365704270000027</v>
      </c>
      <c r="H2658" s="14">
        <v>18.365704270000041</v>
      </c>
      <c r="I2658" s="14">
        <v>18.365704270000037</v>
      </c>
      <c r="J2658" s="14">
        <v>17.498830960811731</v>
      </c>
    </row>
    <row r="2659" spans="1:10" ht="15.75" x14ac:dyDescent="0.5">
      <c r="A2659" s="13" t="s">
        <v>375</v>
      </c>
      <c r="B2659" s="13" t="s">
        <v>410</v>
      </c>
      <c r="C2659" s="13" t="s">
        <v>400</v>
      </c>
      <c r="D2659" s="14">
        <v>245.79356253202215</v>
      </c>
      <c r="E2659" s="14">
        <v>244.61169863981252</v>
      </c>
      <c r="F2659" s="14">
        <v>245.78407182845515</v>
      </c>
      <c r="G2659" s="14">
        <v>246.16997594139113</v>
      </c>
      <c r="H2659" s="14">
        <v>246.16997594140105</v>
      </c>
      <c r="I2659" s="14">
        <v>246.00035470022027</v>
      </c>
      <c r="J2659" s="14">
        <v>245.72373570898196</v>
      </c>
    </row>
    <row r="2660" spans="1:10" ht="15.75" x14ac:dyDescent="0.5">
      <c r="A2660" s="13" t="s">
        <v>375</v>
      </c>
      <c r="B2660" s="13" t="s">
        <v>411</v>
      </c>
      <c r="C2660" s="13" t="s">
        <v>400</v>
      </c>
      <c r="D2660" s="14">
        <v>7.1394000000000171</v>
      </c>
      <c r="E2660" s="14">
        <v>3.559348905109498</v>
      </c>
      <c r="F2660" s="14" t="s">
        <v>250</v>
      </c>
      <c r="G2660" s="14" t="s">
        <v>250</v>
      </c>
      <c r="H2660" s="14" t="s">
        <v>250</v>
      </c>
      <c r="I2660" s="14" t="s">
        <v>250</v>
      </c>
      <c r="J2660" s="14" t="s">
        <v>250</v>
      </c>
    </row>
    <row r="2661" spans="1:10" ht="15.75" x14ac:dyDescent="0.5">
      <c r="A2661" s="13" t="s">
        <v>375</v>
      </c>
      <c r="B2661" s="13" t="s">
        <v>412</v>
      </c>
      <c r="C2661" s="13" t="s">
        <v>400</v>
      </c>
      <c r="D2661" s="14">
        <v>760.72545968400152</v>
      </c>
      <c r="E2661" s="14">
        <v>743.17709515387253</v>
      </c>
      <c r="F2661" s="14">
        <v>606.28998723953885</v>
      </c>
      <c r="G2661" s="14">
        <v>657.6917662964247</v>
      </c>
      <c r="H2661" s="14">
        <v>60.68262453992326</v>
      </c>
      <c r="I2661" s="14">
        <v>3.901936702195631</v>
      </c>
      <c r="J2661" s="14">
        <v>5.9164614822283434</v>
      </c>
    </row>
    <row r="2662" spans="1:10" ht="15.75" x14ac:dyDescent="0.5">
      <c r="A2662" s="13" t="s">
        <v>375</v>
      </c>
      <c r="B2662" s="13" t="s">
        <v>413</v>
      </c>
      <c r="C2662" s="13" t="s">
        <v>400</v>
      </c>
      <c r="D2662" s="14">
        <v>23.70292761988614</v>
      </c>
      <c r="E2662" s="14">
        <v>27.246625504904269</v>
      </c>
      <c r="F2662" s="14">
        <v>11.886840465627193</v>
      </c>
      <c r="G2662" s="14">
        <v>3.9657068317814579</v>
      </c>
      <c r="H2662" s="14">
        <v>1.6448213576276038</v>
      </c>
      <c r="I2662" s="14">
        <v>1.2315342841367807</v>
      </c>
      <c r="J2662" s="14">
        <v>0.34204467153284746</v>
      </c>
    </row>
    <row r="2663" spans="1:10" ht="15.75" x14ac:dyDescent="0.5">
      <c r="A2663" s="13" t="s">
        <v>375</v>
      </c>
      <c r="B2663" s="13" t="s">
        <v>414</v>
      </c>
      <c r="C2663" s="13" t="s">
        <v>400</v>
      </c>
      <c r="D2663" s="14">
        <v>0.68039077051095009</v>
      </c>
      <c r="E2663" s="14">
        <v>24.426397150733408</v>
      </c>
      <c r="F2663" s="14">
        <v>100.49905885498197</v>
      </c>
      <c r="G2663" s="14">
        <v>206.76520158945848</v>
      </c>
      <c r="H2663" s="14">
        <v>253.20610867953226</v>
      </c>
      <c r="I2663" s="14">
        <v>254.7252848673408</v>
      </c>
      <c r="J2663" s="14">
        <v>255.90162100199436</v>
      </c>
    </row>
    <row r="2664" spans="1:10" ht="15.75" x14ac:dyDescent="0.5">
      <c r="A2664" s="13" t="s">
        <v>375</v>
      </c>
      <c r="B2664" s="13" t="s">
        <v>415</v>
      </c>
      <c r="C2664" s="13" t="s">
        <v>400</v>
      </c>
      <c r="D2664" s="14">
        <v>440.53124483255556</v>
      </c>
      <c r="E2664" s="14">
        <v>873.81161765000252</v>
      </c>
      <c r="F2664" s="14">
        <v>1358.6953827613518</v>
      </c>
      <c r="G2664" s="14">
        <v>1422.7036107761496</v>
      </c>
      <c r="H2664" s="14">
        <v>2114.7921982847538</v>
      </c>
      <c r="I2664" s="14">
        <v>3464.3699918795792</v>
      </c>
      <c r="J2664" s="14">
        <v>3790.1962999466336</v>
      </c>
    </row>
    <row r="2665" spans="1:10" ht="15.75" x14ac:dyDescent="0.5">
      <c r="A2665" s="13" t="s">
        <v>375</v>
      </c>
      <c r="B2665" s="13" t="s">
        <v>416</v>
      </c>
      <c r="C2665" s="13" t="s">
        <v>400</v>
      </c>
      <c r="D2665" s="14" t="s">
        <v>250</v>
      </c>
      <c r="E2665" s="14">
        <v>70.934498682900696</v>
      </c>
      <c r="F2665" s="14">
        <v>100.19546122793697</v>
      </c>
      <c r="G2665" s="14">
        <v>127.69344447727379</v>
      </c>
      <c r="H2665" s="14">
        <v>145.88323771792344</v>
      </c>
      <c r="I2665" s="14">
        <v>165.7790673137323</v>
      </c>
      <c r="J2665" s="14">
        <v>186.28657305490802</v>
      </c>
    </row>
    <row r="2666" spans="1:10" ht="15.75" x14ac:dyDescent="0.5">
      <c r="A2666" s="13" t="s">
        <v>375</v>
      </c>
      <c r="B2666" s="13" t="s">
        <v>417</v>
      </c>
      <c r="C2666" s="13" t="s">
        <v>400</v>
      </c>
      <c r="D2666" s="14">
        <v>187.487096334087</v>
      </c>
      <c r="E2666" s="14">
        <v>298.36286233429854</v>
      </c>
      <c r="F2666" s="14">
        <v>339.94935565504687</v>
      </c>
      <c r="G2666" s="14">
        <v>1000.8130104506113</v>
      </c>
      <c r="H2666" s="14">
        <v>2666.9454398329763</v>
      </c>
      <c r="I2666" s="14">
        <v>4117.132181026147</v>
      </c>
      <c r="J2666" s="14">
        <v>4294.0415390512117</v>
      </c>
    </row>
    <row r="2667" spans="1:10" ht="15.75" x14ac:dyDescent="0.5">
      <c r="A2667" s="13" t="s">
        <v>375</v>
      </c>
      <c r="B2667" s="13" t="s">
        <v>418</v>
      </c>
      <c r="C2667" s="13" t="s">
        <v>400</v>
      </c>
      <c r="D2667" s="14">
        <v>3.184175173101953</v>
      </c>
      <c r="E2667" s="14">
        <v>3.1841751731019534</v>
      </c>
      <c r="F2667" s="14">
        <v>3.1841751731019534</v>
      </c>
      <c r="G2667" s="14">
        <v>3.1841751731019534</v>
      </c>
      <c r="H2667" s="14">
        <v>3.1841751731019539</v>
      </c>
      <c r="I2667" s="14">
        <v>3.184175173101953</v>
      </c>
      <c r="J2667" s="14">
        <v>3.1841751731019539</v>
      </c>
    </row>
    <row r="2668" spans="1:10" ht="15.75" x14ac:dyDescent="0.5">
      <c r="A2668" s="13" t="s">
        <v>375</v>
      </c>
      <c r="B2668" s="13" t="s">
        <v>419</v>
      </c>
      <c r="C2668" s="13" t="s">
        <v>400</v>
      </c>
      <c r="D2668" s="14">
        <v>0.54465920264079504</v>
      </c>
      <c r="E2668" s="14">
        <v>8.6466770561219448</v>
      </c>
      <c r="F2668" s="14">
        <v>69.337868067489538</v>
      </c>
      <c r="G2668" s="14">
        <v>183.45065659865196</v>
      </c>
      <c r="H2668" s="14">
        <v>851.7745824605779</v>
      </c>
      <c r="I2668" s="14">
        <v>1819.9161657228906</v>
      </c>
      <c r="J2668" s="14">
        <v>2639.2672773438826</v>
      </c>
    </row>
    <row r="2669" spans="1:10" ht="15.75" x14ac:dyDescent="0.5">
      <c r="A2669" s="13" t="s">
        <v>375</v>
      </c>
      <c r="B2669" s="13" t="s">
        <v>420</v>
      </c>
      <c r="C2669" s="13" t="s">
        <v>400</v>
      </c>
      <c r="D2669" s="14">
        <v>-13.98725295780836</v>
      </c>
      <c r="E2669" s="14">
        <v>-13.700668050752984</v>
      </c>
      <c r="F2669" s="14">
        <v>-12.760662430995204</v>
      </c>
      <c r="G2669" s="14">
        <v>-10.960222206938383</v>
      </c>
      <c r="H2669" s="14">
        <v>-14.124983408531921</v>
      </c>
      <c r="I2669" s="14">
        <v>-16.89041995067635</v>
      </c>
      <c r="J2669" s="14">
        <v>-21.900687675512046</v>
      </c>
    </row>
    <row r="2670" spans="1:10" ht="15.75" x14ac:dyDescent="0.5">
      <c r="A2670" s="13" t="s">
        <v>376</v>
      </c>
      <c r="B2670" s="13" t="s">
        <v>399</v>
      </c>
      <c r="C2670" s="13" t="s">
        <v>400</v>
      </c>
      <c r="D2670" s="14">
        <v>7.249906462559788</v>
      </c>
      <c r="E2670" s="14">
        <v>0.20898189426952318</v>
      </c>
      <c r="F2670" s="14">
        <v>0.51246000000000103</v>
      </c>
      <c r="G2670" s="14">
        <v>0.30487979562043854</v>
      </c>
      <c r="H2670" s="14" t="s">
        <v>250</v>
      </c>
      <c r="I2670" s="14" t="s">
        <v>250</v>
      </c>
      <c r="J2670" s="14">
        <v>1.089546218978104</v>
      </c>
    </row>
    <row r="2671" spans="1:10" ht="15.75" x14ac:dyDescent="0.5">
      <c r="A2671" s="13" t="s">
        <v>376</v>
      </c>
      <c r="B2671" s="13" t="s">
        <v>401</v>
      </c>
      <c r="C2671" s="13" t="s">
        <v>400</v>
      </c>
      <c r="D2671" s="14" t="s">
        <v>250</v>
      </c>
      <c r="E2671" s="14" t="s">
        <v>250</v>
      </c>
      <c r="F2671" s="14">
        <v>97.095398278634448</v>
      </c>
      <c r="G2671" s="14">
        <v>97.095398278634448</v>
      </c>
      <c r="H2671" s="14">
        <v>5.646586454853284</v>
      </c>
      <c r="I2671" s="14" t="s">
        <v>250</v>
      </c>
      <c r="J2671" s="14" t="s">
        <v>250</v>
      </c>
    </row>
    <row r="2672" spans="1:10" ht="15.75" x14ac:dyDescent="0.5">
      <c r="A2672" s="13" t="s">
        <v>376</v>
      </c>
      <c r="B2672" s="13" t="s">
        <v>402</v>
      </c>
      <c r="C2672" s="13" t="s">
        <v>400</v>
      </c>
      <c r="D2672" s="14">
        <v>1072.9916742877469</v>
      </c>
      <c r="E2672" s="14">
        <v>276.80842828606114</v>
      </c>
      <c r="F2672" s="14">
        <v>142.61148302787345</v>
      </c>
      <c r="G2672" s="14">
        <v>111.4864878752423</v>
      </c>
      <c r="H2672" s="14">
        <v>85.759583253540427</v>
      </c>
      <c r="I2672" s="14">
        <v>28.427243299093696</v>
      </c>
      <c r="J2672" s="14" t="s">
        <v>250</v>
      </c>
    </row>
    <row r="2673" spans="1:10" ht="15.75" x14ac:dyDescent="0.5">
      <c r="A2673" s="13" t="s">
        <v>376</v>
      </c>
      <c r="B2673" s="13" t="s">
        <v>403</v>
      </c>
      <c r="C2673" s="13" t="s">
        <v>400</v>
      </c>
      <c r="D2673" s="14" t="s">
        <v>250</v>
      </c>
      <c r="E2673" s="14" t="s">
        <v>250</v>
      </c>
      <c r="F2673" s="14">
        <v>132.2871544949806</v>
      </c>
      <c r="G2673" s="14">
        <v>132.2871544949806</v>
      </c>
      <c r="H2673" s="14">
        <v>26.912282146165676</v>
      </c>
      <c r="I2673" s="14">
        <v>23.511639984886202</v>
      </c>
      <c r="J2673" s="14" t="s">
        <v>250</v>
      </c>
    </row>
    <row r="2674" spans="1:10" ht="15.75" x14ac:dyDescent="0.5">
      <c r="A2674" s="13" t="s">
        <v>376</v>
      </c>
      <c r="B2674" s="13" t="s">
        <v>421</v>
      </c>
      <c r="C2674" s="13" t="s">
        <v>400</v>
      </c>
      <c r="D2674" s="14" t="s">
        <v>250</v>
      </c>
      <c r="E2674" s="14" t="s">
        <v>250</v>
      </c>
      <c r="F2674" s="14" t="s">
        <v>250</v>
      </c>
      <c r="G2674" s="14">
        <v>284.91855503157416</v>
      </c>
      <c r="H2674" s="14">
        <v>767.754308045686</v>
      </c>
      <c r="I2674" s="14">
        <v>758.02980949731841</v>
      </c>
      <c r="J2674" s="14">
        <v>413.18678245794246</v>
      </c>
    </row>
    <row r="2675" spans="1:10" ht="15.75" x14ac:dyDescent="0.5">
      <c r="A2675" s="13" t="s">
        <v>376</v>
      </c>
      <c r="B2675" s="13" t="s">
        <v>405</v>
      </c>
      <c r="C2675" s="13" t="s">
        <v>400</v>
      </c>
      <c r="D2675" s="14">
        <v>1259.389129088994</v>
      </c>
      <c r="E2675" s="14">
        <v>1452.1065541151099</v>
      </c>
      <c r="F2675" s="14">
        <v>1409.2543527524954</v>
      </c>
      <c r="G2675" s="14">
        <v>1286.0007798773797</v>
      </c>
      <c r="H2675" s="14">
        <v>932.96613440830072</v>
      </c>
      <c r="I2675" s="14">
        <v>529.3154918525388</v>
      </c>
      <c r="J2675" s="14">
        <v>292.75117438378925</v>
      </c>
    </row>
    <row r="2676" spans="1:10" ht="15.75" x14ac:dyDescent="0.5">
      <c r="A2676" s="13" t="s">
        <v>376</v>
      </c>
      <c r="B2676" s="13" t="s">
        <v>406</v>
      </c>
      <c r="C2676" s="13" t="s">
        <v>400</v>
      </c>
      <c r="D2676" s="14">
        <v>23.479196814299335</v>
      </c>
      <c r="E2676" s="14">
        <v>33.978252772252041</v>
      </c>
      <c r="F2676" s="14">
        <v>44.716530843302166</v>
      </c>
      <c r="G2676" s="14">
        <v>42.168909318223022</v>
      </c>
      <c r="H2676" s="14">
        <v>38.676862109789518</v>
      </c>
      <c r="I2676" s="14">
        <v>32.445177878720564</v>
      </c>
      <c r="J2676" s="14">
        <v>26.390891177574346</v>
      </c>
    </row>
    <row r="2677" spans="1:10" ht="15.75" x14ac:dyDescent="0.5">
      <c r="A2677" s="13" t="s">
        <v>376</v>
      </c>
      <c r="B2677" s="13" t="s">
        <v>407</v>
      </c>
      <c r="C2677" s="13" t="s">
        <v>400</v>
      </c>
      <c r="D2677" s="14" t="s">
        <v>250</v>
      </c>
      <c r="E2677" s="14">
        <v>122.69386124828266</v>
      </c>
      <c r="F2677" s="14">
        <v>71.657873930160463</v>
      </c>
      <c r="G2677" s="14">
        <v>106.99929428686725</v>
      </c>
      <c r="H2677" s="14" t="s">
        <v>250</v>
      </c>
      <c r="I2677" s="14" t="s">
        <v>250</v>
      </c>
      <c r="J2677" s="14" t="s">
        <v>250</v>
      </c>
    </row>
    <row r="2678" spans="1:10" ht="15.75" x14ac:dyDescent="0.5">
      <c r="A2678" s="13" t="s">
        <v>376</v>
      </c>
      <c r="B2678" s="13" t="s">
        <v>408</v>
      </c>
      <c r="C2678" s="13" t="s">
        <v>400</v>
      </c>
      <c r="D2678" s="14">
        <v>46.892290321001234</v>
      </c>
      <c r="E2678" s="14">
        <v>29.852049397221403</v>
      </c>
      <c r="F2678" s="14">
        <v>22.424078984497459</v>
      </c>
      <c r="G2678" s="14">
        <v>33.291192939098394</v>
      </c>
      <c r="H2678" s="14">
        <v>23.286078016100827</v>
      </c>
      <c r="I2678" s="14">
        <v>14.299579836068018</v>
      </c>
      <c r="J2678" s="14">
        <v>30.184470500199716</v>
      </c>
    </row>
    <row r="2679" spans="1:10" ht="15.75" x14ac:dyDescent="0.5">
      <c r="A2679" s="13" t="s">
        <v>376</v>
      </c>
      <c r="B2679" s="13" t="s">
        <v>409</v>
      </c>
      <c r="C2679" s="13" t="s">
        <v>400</v>
      </c>
      <c r="D2679" s="14">
        <v>18.36570427000003</v>
      </c>
      <c r="E2679" s="14">
        <v>18.365704270000041</v>
      </c>
      <c r="F2679" s="14">
        <v>18.365704270000037</v>
      </c>
      <c r="G2679" s="14">
        <v>18.365704270000027</v>
      </c>
      <c r="H2679" s="14">
        <v>18.365704270000041</v>
      </c>
      <c r="I2679" s="14">
        <v>18.365704270000034</v>
      </c>
      <c r="J2679" s="14">
        <v>17.498832492799153</v>
      </c>
    </row>
    <row r="2680" spans="1:10" ht="15.75" x14ac:dyDescent="0.5">
      <c r="A2680" s="13" t="s">
        <v>376</v>
      </c>
      <c r="B2680" s="13" t="s">
        <v>410</v>
      </c>
      <c r="C2680" s="13" t="s">
        <v>400</v>
      </c>
      <c r="D2680" s="14">
        <v>245.79356253202212</v>
      </c>
      <c r="E2680" s="14">
        <v>244.61169867712266</v>
      </c>
      <c r="F2680" s="14">
        <v>245.78407240545968</v>
      </c>
      <c r="G2680" s="14">
        <v>246.16997594139414</v>
      </c>
      <c r="H2680" s="14">
        <v>246.1699759413911</v>
      </c>
      <c r="I2680" s="14">
        <v>246.00035470020731</v>
      </c>
      <c r="J2680" s="14">
        <v>245.72373750883267</v>
      </c>
    </row>
    <row r="2681" spans="1:10" ht="15.75" x14ac:dyDescent="0.5">
      <c r="A2681" s="13" t="s">
        <v>376</v>
      </c>
      <c r="B2681" s="13" t="s">
        <v>411</v>
      </c>
      <c r="C2681" s="13" t="s">
        <v>400</v>
      </c>
      <c r="D2681" s="14">
        <v>7.139400000000018</v>
      </c>
      <c r="E2681" s="14">
        <v>3.5593489051094975</v>
      </c>
      <c r="F2681" s="14" t="s">
        <v>250</v>
      </c>
      <c r="G2681" s="14" t="s">
        <v>250</v>
      </c>
      <c r="H2681" s="14" t="s">
        <v>250</v>
      </c>
      <c r="I2681" s="14" t="s">
        <v>250</v>
      </c>
      <c r="J2681" s="14" t="s">
        <v>250</v>
      </c>
    </row>
    <row r="2682" spans="1:10" ht="15.75" x14ac:dyDescent="0.5">
      <c r="A2682" s="13" t="s">
        <v>376</v>
      </c>
      <c r="B2682" s="13" t="s">
        <v>412</v>
      </c>
      <c r="C2682" s="13" t="s">
        <v>400</v>
      </c>
      <c r="D2682" s="14">
        <v>760.72545968400152</v>
      </c>
      <c r="E2682" s="14">
        <v>743.17709542075704</v>
      </c>
      <c r="F2682" s="14">
        <v>606.28999026440988</v>
      </c>
      <c r="G2682" s="14">
        <v>657.69175938232661</v>
      </c>
      <c r="H2682" s="14">
        <v>60.682616118593685</v>
      </c>
      <c r="I2682" s="14">
        <v>3.9019367021956297</v>
      </c>
      <c r="J2682" s="14">
        <v>5.9164614822283443</v>
      </c>
    </row>
    <row r="2683" spans="1:10" ht="15.75" x14ac:dyDescent="0.5">
      <c r="A2683" s="13" t="s">
        <v>376</v>
      </c>
      <c r="B2683" s="13" t="s">
        <v>413</v>
      </c>
      <c r="C2683" s="13" t="s">
        <v>400</v>
      </c>
      <c r="D2683" s="14">
        <v>23.702927619886133</v>
      </c>
      <c r="E2683" s="14">
        <v>27.246625430729146</v>
      </c>
      <c r="F2683" s="14">
        <v>11.886840303239389</v>
      </c>
      <c r="G2683" s="14">
        <v>3.9657063422719481</v>
      </c>
      <c r="H2683" s="14">
        <v>1.6448214606530431</v>
      </c>
      <c r="I2683" s="14">
        <v>1.2315344133538868</v>
      </c>
      <c r="J2683" s="14">
        <v>0.34204467153284734</v>
      </c>
    </row>
    <row r="2684" spans="1:10" ht="15.75" x14ac:dyDescent="0.5">
      <c r="A2684" s="13" t="s">
        <v>376</v>
      </c>
      <c r="B2684" s="13" t="s">
        <v>414</v>
      </c>
      <c r="C2684" s="13" t="s">
        <v>400</v>
      </c>
      <c r="D2684" s="14">
        <v>0.6803907705109502</v>
      </c>
      <c r="E2684" s="14">
        <v>24.426397150733408</v>
      </c>
      <c r="F2684" s="14">
        <v>100.49905885498195</v>
      </c>
      <c r="G2684" s="14">
        <v>206.76520158945848</v>
      </c>
      <c r="H2684" s="14">
        <v>253.20610867953218</v>
      </c>
      <c r="I2684" s="14">
        <v>254.72528486734089</v>
      </c>
      <c r="J2684" s="14">
        <v>255.9016210019943</v>
      </c>
    </row>
    <row r="2685" spans="1:10" ht="15.75" x14ac:dyDescent="0.5">
      <c r="A2685" s="13" t="s">
        <v>376</v>
      </c>
      <c r="B2685" s="13" t="s">
        <v>415</v>
      </c>
      <c r="C2685" s="13" t="s">
        <v>400</v>
      </c>
      <c r="D2685" s="14">
        <v>440.53124483255556</v>
      </c>
      <c r="E2685" s="14">
        <v>873.81161765000218</v>
      </c>
      <c r="F2685" s="14">
        <v>1358.6953884291672</v>
      </c>
      <c r="G2685" s="14">
        <v>1422.7036277926527</v>
      </c>
      <c r="H2685" s="14">
        <v>2114.7922026640531</v>
      </c>
      <c r="I2685" s="14">
        <v>3464.3699777849565</v>
      </c>
      <c r="J2685" s="14">
        <v>3790.1962993326561</v>
      </c>
    </row>
    <row r="2686" spans="1:10" ht="15.75" x14ac:dyDescent="0.5">
      <c r="A2686" s="13" t="s">
        <v>376</v>
      </c>
      <c r="B2686" s="13" t="s">
        <v>416</v>
      </c>
      <c r="C2686" s="13" t="s">
        <v>400</v>
      </c>
      <c r="D2686" s="14" t="s">
        <v>250</v>
      </c>
      <c r="E2686" s="14">
        <v>70.934498682900696</v>
      </c>
      <c r="F2686" s="14">
        <v>100.19546122793699</v>
      </c>
      <c r="G2686" s="14">
        <v>127.6934444772737</v>
      </c>
      <c r="H2686" s="14">
        <v>145.88323771792335</v>
      </c>
      <c r="I2686" s="14">
        <v>165.77906731373233</v>
      </c>
      <c r="J2686" s="14">
        <v>186.28657305490796</v>
      </c>
    </row>
    <row r="2687" spans="1:10" ht="15.75" x14ac:dyDescent="0.5">
      <c r="A2687" s="13" t="s">
        <v>376</v>
      </c>
      <c r="B2687" s="13" t="s">
        <v>417</v>
      </c>
      <c r="C2687" s="13" t="s">
        <v>400</v>
      </c>
      <c r="D2687" s="14">
        <v>187.48709633408694</v>
      </c>
      <c r="E2687" s="14">
        <v>298.36286233429854</v>
      </c>
      <c r="F2687" s="14">
        <v>339.94935565504693</v>
      </c>
      <c r="G2687" s="14">
        <v>1000.8130026545023</v>
      </c>
      <c r="H2687" s="14">
        <v>2666.9454279785114</v>
      </c>
      <c r="I2687" s="14">
        <v>4117.132184459686</v>
      </c>
      <c r="J2687" s="14">
        <v>4294.0415466487184</v>
      </c>
    </row>
    <row r="2688" spans="1:10" ht="15.75" x14ac:dyDescent="0.5">
      <c r="A2688" s="13" t="s">
        <v>376</v>
      </c>
      <c r="B2688" s="13" t="s">
        <v>418</v>
      </c>
      <c r="C2688" s="13" t="s">
        <v>400</v>
      </c>
      <c r="D2688" s="14">
        <v>3.1841751731019534</v>
      </c>
      <c r="E2688" s="14">
        <v>3.1841751731019534</v>
      </c>
      <c r="F2688" s="14">
        <v>3.1841751731019534</v>
      </c>
      <c r="G2688" s="14">
        <v>3.184175173101953</v>
      </c>
      <c r="H2688" s="14">
        <v>3.1841751731019539</v>
      </c>
      <c r="I2688" s="14">
        <v>3.1841751731019539</v>
      </c>
      <c r="J2688" s="14">
        <v>3.184175173101953</v>
      </c>
    </row>
    <row r="2689" spans="1:10" ht="15.75" x14ac:dyDescent="0.5">
      <c r="A2689" s="13" t="s">
        <v>376</v>
      </c>
      <c r="B2689" s="13" t="s">
        <v>419</v>
      </c>
      <c r="C2689" s="13" t="s">
        <v>400</v>
      </c>
      <c r="D2689" s="14">
        <v>0.54465920264079504</v>
      </c>
      <c r="E2689" s="14">
        <v>8.6466687621878098</v>
      </c>
      <c r="F2689" s="14">
        <v>69.337868341464102</v>
      </c>
      <c r="G2689" s="14">
        <v>183.45064976643249</v>
      </c>
      <c r="H2689" s="14">
        <v>851.77983252180047</v>
      </c>
      <c r="I2689" s="14">
        <v>1819.916139639211</v>
      </c>
      <c r="J2689" s="14">
        <v>2639.2880898197986</v>
      </c>
    </row>
    <row r="2690" spans="1:10" ht="15.75" x14ac:dyDescent="0.5">
      <c r="A2690" s="13" t="s">
        <v>376</v>
      </c>
      <c r="B2690" s="13" t="s">
        <v>420</v>
      </c>
      <c r="C2690" s="13" t="s">
        <v>400</v>
      </c>
      <c r="D2690" s="14">
        <v>-13.98725295780835</v>
      </c>
      <c r="E2690" s="14">
        <v>-13.700668278467141</v>
      </c>
      <c r="F2690" s="14">
        <v>-12.756731876963258</v>
      </c>
      <c r="G2690" s="14">
        <v>-10.960222415051518</v>
      </c>
      <c r="H2690" s="14">
        <v>-14.12324356428894</v>
      </c>
      <c r="I2690" s="14">
        <v>-16.898771203421557</v>
      </c>
      <c r="J2690" s="14">
        <v>-21.889740371872936</v>
      </c>
    </row>
    <row r="2691" spans="1:10" ht="15.75" x14ac:dyDescent="0.5">
      <c r="A2691" s="13" t="s">
        <v>377</v>
      </c>
      <c r="B2691" s="13" t="s">
        <v>399</v>
      </c>
      <c r="C2691" s="13" t="s">
        <v>400</v>
      </c>
      <c r="D2691" s="14">
        <v>7.2499064625597898</v>
      </c>
      <c r="E2691" s="14">
        <v>0.20898189426952335</v>
      </c>
      <c r="F2691" s="14">
        <v>0.51246000000000114</v>
      </c>
      <c r="G2691" s="14">
        <v>0.30487979562043849</v>
      </c>
      <c r="H2691" s="14" t="s">
        <v>250</v>
      </c>
      <c r="I2691" s="14" t="s">
        <v>250</v>
      </c>
      <c r="J2691" s="14">
        <v>1.0415427898366412</v>
      </c>
    </row>
    <row r="2692" spans="1:10" ht="15.75" x14ac:dyDescent="0.5">
      <c r="A2692" s="13" t="s">
        <v>377</v>
      </c>
      <c r="B2692" s="13" t="s">
        <v>401</v>
      </c>
      <c r="C2692" s="13" t="s">
        <v>400</v>
      </c>
      <c r="D2692" s="14" t="s">
        <v>250</v>
      </c>
      <c r="E2692" s="14" t="s">
        <v>250</v>
      </c>
      <c r="F2692" s="14">
        <v>97.97282182037921</v>
      </c>
      <c r="G2692" s="14">
        <v>97.972821820379195</v>
      </c>
      <c r="H2692" s="14">
        <v>5.6374446979475099</v>
      </c>
      <c r="I2692" s="14" t="s">
        <v>250</v>
      </c>
      <c r="J2692" s="14" t="s">
        <v>250</v>
      </c>
    </row>
    <row r="2693" spans="1:10" ht="15.75" x14ac:dyDescent="0.5">
      <c r="A2693" s="13" t="s">
        <v>377</v>
      </c>
      <c r="B2693" s="13" t="s">
        <v>402</v>
      </c>
      <c r="C2693" s="13" t="s">
        <v>400</v>
      </c>
      <c r="D2693" s="14">
        <v>1072.9916742877469</v>
      </c>
      <c r="E2693" s="14">
        <v>276.524423890729</v>
      </c>
      <c r="F2693" s="14">
        <v>142.33709919532035</v>
      </c>
      <c r="G2693" s="14">
        <v>111.21324500054466</v>
      </c>
      <c r="H2693" s="14">
        <v>84.635799108937917</v>
      </c>
      <c r="I2693" s="14">
        <v>28.924431275873658</v>
      </c>
      <c r="J2693" s="14" t="s">
        <v>250</v>
      </c>
    </row>
    <row r="2694" spans="1:10" ht="15.75" x14ac:dyDescent="0.5">
      <c r="A2694" s="13" t="s">
        <v>377</v>
      </c>
      <c r="B2694" s="13" t="s">
        <v>403</v>
      </c>
      <c r="C2694" s="13" t="s">
        <v>400</v>
      </c>
      <c r="D2694" s="14" t="s">
        <v>250</v>
      </c>
      <c r="E2694" s="14" t="s">
        <v>250</v>
      </c>
      <c r="F2694" s="14">
        <v>132.9469607651211</v>
      </c>
      <c r="G2694" s="14">
        <v>132.94696076512113</v>
      </c>
      <c r="H2694" s="14">
        <v>26.927880556288596</v>
      </c>
      <c r="I2694" s="14">
        <v>23.434511586663373</v>
      </c>
      <c r="J2694" s="14" t="s">
        <v>250</v>
      </c>
    </row>
    <row r="2695" spans="1:10" ht="15.75" x14ac:dyDescent="0.5">
      <c r="A2695" s="13" t="s">
        <v>377</v>
      </c>
      <c r="B2695" s="13" t="s">
        <v>421</v>
      </c>
      <c r="C2695" s="13" t="s">
        <v>400</v>
      </c>
      <c r="D2695" s="14" t="s">
        <v>250</v>
      </c>
      <c r="E2695" s="14" t="s">
        <v>250</v>
      </c>
      <c r="F2695" s="14" t="s">
        <v>250</v>
      </c>
      <c r="G2695" s="14">
        <v>283.66182369768535</v>
      </c>
      <c r="H2695" s="14">
        <v>764.22784712398447</v>
      </c>
      <c r="I2695" s="14">
        <v>754.80118545068206</v>
      </c>
      <c r="J2695" s="14">
        <v>404.91545620419322</v>
      </c>
    </row>
    <row r="2696" spans="1:10" ht="15.75" x14ac:dyDescent="0.5">
      <c r="A2696" s="13" t="s">
        <v>377</v>
      </c>
      <c r="B2696" s="13" t="s">
        <v>405</v>
      </c>
      <c r="C2696" s="13" t="s">
        <v>400</v>
      </c>
      <c r="D2696" s="14">
        <v>1259.3891290889947</v>
      </c>
      <c r="E2696" s="14">
        <v>1452.1954749432475</v>
      </c>
      <c r="F2696" s="14">
        <v>1409.1718019014063</v>
      </c>
      <c r="G2696" s="14">
        <v>1286.4562793968291</v>
      </c>
      <c r="H2696" s="14">
        <v>937.021221259144</v>
      </c>
      <c r="I2696" s="14">
        <v>533.91613363499027</v>
      </c>
      <c r="J2696" s="14">
        <v>292.92584098298096</v>
      </c>
    </row>
    <row r="2697" spans="1:10" ht="15.75" x14ac:dyDescent="0.5">
      <c r="A2697" s="13" t="s">
        <v>377</v>
      </c>
      <c r="B2697" s="13" t="s">
        <v>406</v>
      </c>
      <c r="C2697" s="13" t="s">
        <v>400</v>
      </c>
      <c r="D2697" s="14">
        <v>23.479196814299332</v>
      </c>
      <c r="E2697" s="14">
        <v>34.000821443029736</v>
      </c>
      <c r="F2697" s="14">
        <v>44.615413466377163</v>
      </c>
      <c r="G2697" s="14">
        <v>42.096514294405502</v>
      </c>
      <c r="H2697" s="14">
        <v>38.640614474420275</v>
      </c>
      <c r="I2697" s="14">
        <v>32.407345167306794</v>
      </c>
      <c r="J2697" s="14">
        <v>26.294333192484807</v>
      </c>
    </row>
    <row r="2698" spans="1:10" ht="15.75" x14ac:dyDescent="0.5">
      <c r="A2698" s="13" t="s">
        <v>377</v>
      </c>
      <c r="B2698" s="13" t="s">
        <v>407</v>
      </c>
      <c r="C2698" s="13" t="s">
        <v>400</v>
      </c>
      <c r="D2698" s="14" t="s">
        <v>250</v>
      </c>
      <c r="E2698" s="14">
        <v>122.51197786273897</v>
      </c>
      <c r="F2698" s="14">
        <v>70.675641030161273</v>
      </c>
      <c r="G2698" s="14">
        <v>106.8793707471409</v>
      </c>
      <c r="H2698" s="14" t="s">
        <v>250</v>
      </c>
      <c r="I2698" s="14" t="s">
        <v>250</v>
      </c>
      <c r="J2698" s="14" t="s">
        <v>250</v>
      </c>
    </row>
    <row r="2699" spans="1:10" ht="15.75" x14ac:dyDescent="0.5">
      <c r="A2699" s="13" t="s">
        <v>377</v>
      </c>
      <c r="B2699" s="13" t="s">
        <v>408</v>
      </c>
      <c r="C2699" s="13" t="s">
        <v>400</v>
      </c>
      <c r="D2699" s="14">
        <v>46.892290321001219</v>
      </c>
      <c r="E2699" s="14">
        <v>29.850171052247923</v>
      </c>
      <c r="F2699" s="14">
        <v>22.433684566884153</v>
      </c>
      <c r="G2699" s="14">
        <v>33.303615702591969</v>
      </c>
      <c r="H2699" s="14">
        <v>23.380621053680184</v>
      </c>
      <c r="I2699" s="14">
        <v>14.358129550973855</v>
      </c>
      <c r="J2699" s="14">
        <v>30.024846707018106</v>
      </c>
    </row>
    <row r="2700" spans="1:10" ht="15.75" x14ac:dyDescent="0.5">
      <c r="A2700" s="13" t="s">
        <v>377</v>
      </c>
      <c r="B2700" s="13" t="s">
        <v>409</v>
      </c>
      <c r="C2700" s="13" t="s">
        <v>400</v>
      </c>
      <c r="D2700" s="14">
        <v>18.365704270000034</v>
      </c>
      <c r="E2700" s="14">
        <v>18.365704270000037</v>
      </c>
      <c r="F2700" s="14">
        <v>18.365704270000037</v>
      </c>
      <c r="G2700" s="14">
        <v>18.36570427000003</v>
      </c>
      <c r="H2700" s="14">
        <v>18.365704270000037</v>
      </c>
      <c r="I2700" s="14">
        <v>18.36570427000003</v>
      </c>
      <c r="J2700" s="14">
        <v>17.515783773383863</v>
      </c>
    </row>
    <row r="2701" spans="1:10" ht="15.75" x14ac:dyDescent="0.5">
      <c r="A2701" s="13" t="s">
        <v>377</v>
      </c>
      <c r="B2701" s="13" t="s">
        <v>410</v>
      </c>
      <c r="C2701" s="13" t="s">
        <v>400</v>
      </c>
      <c r="D2701" s="14">
        <v>245.79356253202215</v>
      </c>
      <c r="E2701" s="14">
        <v>244.61241436785909</v>
      </c>
      <c r="F2701" s="14">
        <v>245.84687313660518</v>
      </c>
      <c r="G2701" s="14">
        <v>246.16997594140625</v>
      </c>
      <c r="H2701" s="14">
        <v>246.16997594126624</v>
      </c>
      <c r="I2701" s="14">
        <v>245.7029948028445</v>
      </c>
      <c r="J2701" s="14">
        <v>245.76163440036905</v>
      </c>
    </row>
    <row r="2702" spans="1:10" ht="15.75" x14ac:dyDescent="0.5">
      <c r="A2702" s="13" t="s">
        <v>377</v>
      </c>
      <c r="B2702" s="13" t="s">
        <v>411</v>
      </c>
      <c r="C2702" s="13" t="s">
        <v>400</v>
      </c>
      <c r="D2702" s="14">
        <v>7.1394000000000171</v>
      </c>
      <c r="E2702" s="14">
        <v>3.5593489051094989</v>
      </c>
      <c r="F2702" s="14" t="s">
        <v>250</v>
      </c>
      <c r="G2702" s="14" t="s">
        <v>250</v>
      </c>
      <c r="H2702" s="14" t="s">
        <v>250</v>
      </c>
      <c r="I2702" s="14" t="s">
        <v>250</v>
      </c>
      <c r="J2702" s="14" t="s">
        <v>250</v>
      </c>
    </row>
    <row r="2703" spans="1:10" ht="15.75" x14ac:dyDescent="0.5">
      <c r="A2703" s="13" t="s">
        <v>377</v>
      </c>
      <c r="B2703" s="13" t="s">
        <v>412</v>
      </c>
      <c r="C2703" s="13" t="s">
        <v>400</v>
      </c>
      <c r="D2703" s="14">
        <v>760.72545968400163</v>
      </c>
      <c r="E2703" s="14">
        <v>743.12322356833727</v>
      </c>
      <c r="F2703" s="14">
        <v>606.03105275085534</v>
      </c>
      <c r="G2703" s="14">
        <v>657.67177059841049</v>
      </c>
      <c r="H2703" s="14">
        <v>52.2116666055026</v>
      </c>
      <c r="I2703" s="14">
        <v>3.9019367021956279</v>
      </c>
      <c r="J2703" s="14">
        <v>22.582714280844758</v>
      </c>
    </row>
    <row r="2704" spans="1:10" ht="15.75" x14ac:dyDescent="0.5">
      <c r="A2704" s="13" t="s">
        <v>377</v>
      </c>
      <c r="B2704" s="13" t="s">
        <v>413</v>
      </c>
      <c r="C2704" s="13" t="s">
        <v>400</v>
      </c>
      <c r="D2704" s="14">
        <v>23.702927619886136</v>
      </c>
      <c r="E2704" s="14">
        <v>27.225962593701436</v>
      </c>
      <c r="F2704" s="14">
        <v>11.850793386368714</v>
      </c>
      <c r="G2704" s="14">
        <v>3.9668432599261179</v>
      </c>
      <c r="H2704" s="14">
        <v>1.6266889705665022</v>
      </c>
      <c r="I2704" s="14">
        <v>1.2500066572243309</v>
      </c>
      <c r="J2704" s="14">
        <v>0.34204467153284734</v>
      </c>
    </row>
    <row r="2705" spans="1:10" ht="15.75" x14ac:dyDescent="0.5">
      <c r="A2705" s="13" t="s">
        <v>377</v>
      </c>
      <c r="B2705" s="13" t="s">
        <v>414</v>
      </c>
      <c r="C2705" s="13" t="s">
        <v>400</v>
      </c>
      <c r="D2705" s="14">
        <v>0.68039077051095009</v>
      </c>
      <c r="E2705" s="14">
        <v>24.426397150733408</v>
      </c>
      <c r="F2705" s="14">
        <v>100.49798379376865</v>
      </c>
      <c r="G2705" s="14">
        <v>206.76224291515652</v>
      </c>
      <c r="H2705" s="14">
        <v>253.20312349280087</v>
      </c>
      <c r="I2705" s="14">
        <v>254.72227993731107</v>
      </c>
      <c r="J2705" s="14">
        <v>255.89860084141992</v>
      </c>
    </row>
    <row r="2706" spans="1:10" ht="15.75" x14ac:dyDescent="0.5">
      <c r="A2706" s="13" t="s">
        <v>377</v>
      </c>
      <c r="B2706" s="13" t="s">
        <v>415</v>
      </c>
      <c r="C2706" s="13" t="s">
        <v>400</v>
      </c>
      <c r="D2706" s="14">
        <v>440.53124483255544</v>
      </c>
      <c r="E2706" s="14">
        <v>873.81161765000206</v>
      </c>
      <c r="F2706" s="14">
        <v>1358.7202849424668</v>
      </c>
      <c r="G2706" s="14">
        <v>1422.731599320573</v>
      </c>
      <c r="H2706" s="14">
        <v>2114.9112646734934</v>
      </c>
      <c r="I2706" s="14">
        <v>3462.8523447639122</v>
      </c>
      <c r="J2706" s="14">
        <v>3785.4512027665096</v>
      </c>
    </row>
    <row r="2707" spans="1:10" ht="15.75" x14ac:dyDescent="0.5">
      <c r="A2707" s="13" t="s">
        <v>377</v>
      </c>
      <c r="B2707" s="13" t="s">
        <v>416</v>
      </c>
      <c r="C2707" s="13" t="s">
        <v>400</v>
      </c>
      <c r="D2707" s="14" t="s">
        <v>250</v>
      </c>
      <c r="E2707" s="14">
        <v>70.934498682900724</v>
      </c>
      <c r="F2707" s="14">
        <v>100.19546122793699</v>
      </c>
      <c r="G2707" s="14">
        <v>127.69344447727376</v>
      </c>
      <c r="H2707" s="14">
        <v>145.88323771792341</v>
      </c>
      <c r="I2707" s="14">
        <v>165.77906731373224</v>
      </c>
      <c r="J2707" s="14">
        <v>186.28657305490808</v>
      </c>
    </row>
    <row r="2708" spans="1:10" ht="15.75" x14ac:dyDescent="0.5">
      <c r="A2708" s="13" t="s">
        <v>377</v>
      </c>
      <c r="B2708" s="13" t="s">
        <v>417</v>
      </c>
      <c r="C2708" s="13" t="s">
        <v>400</v>
      </c>
      <c r="D2708" s="14">
        <v>187.48709633408697</v>
      </c>
      <c r="E2708" s="14">
        <v>298.36286233429848</v>
      </c>
      <c r="F2708" s="14">
        <v>339.94935565504693</v>
      </c>
      <c r="G2708" s="14">
        <v>1000.4368587397829</v>
      </c>
      <c r="H2708" s="14">
        <v>2681.8577308234812</v>
      </c>
      <c r="I2708" s="14">
        <v>4107.2600450800446</v>
      </c>
      <c r="J2708" s="14">
        <v>4276.6186027483609</v>
      </c>
    </row>
    <row r="2709" spans="1:10" ht="15.75" x14ac:dyDescent="0.5">
      <c r="A2709" s="13" t="s">
        <v>377</v>
      </c>
      <c r="B2709" s="13" t="s">
        <v>418</v>
      </c>
      <c r="C2709" s="13" t="s">
        <v>400</v>
      </c>
      <c r="D2709" s="14">
        <v>3.1841751731019534</v>
      </c>
      <c r="E2709" s="14">
        <v>3.184175173101953</v>
      </c>
      <c r="F2709" s="14">
        <v>3.1841751731019534</v>
      </c>
      <c r="G2709" s="14">
        <v>3.184175173101953</v>
      </c>
      <c r="H2709" s="14">
        <v>3.1841751731019539</v>
      </c>
      <c r="I2709" s="14">
        <v>3.1841751731019534</v>
      </c>
      <c r="J2709" s="14">
        <v>3.1841751731019534</v>
      </c>
    </row>
    <row r="2710" spans="1:10" ht="15.75" x14ac:dyDescent="0.5">
      <c r="A2710" s="13" t="s">
        <v>377</v>
      </c>
      <c r="B2710" s="13" t="s">
        <v>419</v>
      </c>
      <c r="C2710" s="13" t="s">
        <v>400</v>
      </c>
      <c r="D2710" s="14">
        <v>0.54465920264079504</v>
      </c>
      <c r="E2710" s="14">
        <v>8.6105000222180479</v>
      </c>
      <c r="F2710" s="14">
        <v>68.960812673459472</v>
      </c>
      <c r="G2710" s="14">
        <v>183.21588945745265</v>
      </c>
      <c r="H2710" s="14">
        <v>856.37284472094541</v>
      </c>
      <c r="I2710" s="14">
        <v>1815.0601002087985</v>
      </c>
      <c r="J2710" s="14">
        <v>2622.6758196959831</v>
      </c>
    </row>
    <row r="2711" spans="1:10" ht="15.75" x14ac:dyDescent="0.5">
      <c r="A2711" s="13" t="s">
        <v>377</v>
      </c>
      <c r="B2711" s="13" t="s">
        <v>420</v>
      </c>
      <c r="C2711" s="13" t="s">
        <v>400</v>
      </c>
      <c r="D2711" s="14">
        <v>-13.987252957808348</v>
      </c>
      <c r="E2711" s="14">
        <v>-13.693402173383243</v>
      </c>
      <c r="F2711" s="14">
        <v>-12.762325820348314</v>
      </c>
      <c r="G2711" s="14">
        <v>-10.939064580797622</v>
      </c>
      <c r="H2711" s="14">
        <v>-13.972508731205817</v>
      </c>
      <c r="I2711" s="14">
        <v>-16.912159574201272</v>
      </c>
      <c r="J2711" s="14">
        <v>-21.995440890007767</v>
      </c>
    </row>
    <row r="2712" spans="1:10" ht="15.75" x14ac:dyDescent="0.5">
      <c r="A2712" s="13" t="s">
        <v>378</v>
      </c>
      <c r="B2712" s="13" t="s">
        <v>399</v>
      </c>
      <c r="C2712" s="13" t="s">
        <v>400</v>
      </c>
      <c r="D2712" s="14">
        <v>7.2499064625597889</v>
      </c>
      <c r="E2712" s="14">
        <v>0.20898282707146892</v>
      </c>
      <c r="F2712" s="14">
        <v>0.51246000000000114</v>
      </c>
      <c r="G2712" s="14">
        <v>0.33375600000000066</v>
      </c>
      <c r="H2712" s="14">
        <v>0.31254621897810281</v>
      </c>
      <c r="I2712" s="14">
        <v>0.50601065693430758</v>
      </c>
      <c r="J2712" s="14">
        <v>0.27336245255474501</v>
      </c>
    </row>
    <row r="2713" spans="1:10" ht="15.75" x14ac:dyDescent="0.5">
      <c r="A2713" s="13" t="s">
        <v>378</v>
      </c>
      <c r="B2713" s="13" t="s">
        <v>401</v>
      </c>
      <c r="C2713" s="13" t="s">
        <v>400</v>
      </c>
      <c r="D2713" s="14" t="s">
        <v>250</v>
      </c>
      <c r="E2713" s="14" t="s">
        <v>250</v>
      </c>
      <c r="F2713" s="14">
        <v>84.877079082641458</v>
      </c>
      <c r="G2713" s="14">
        <v>84.877079082641416</v>
      </c>
      <c r="H2713" s="14">
        <v>16.921919812304324</v>
      </c>
      <c r="I2713" s="14">
        <v>15.193760446749021</v>
      </c>
      <c r="J2713" s="14" t="s">
        <v>250</v>
      </c>
    </row>
    <row r="2714" spans="1:10" ht="15.75" x14ac:dyDescent="0.5">
      <c r="A2714" s="13" t="s">
        <v>378</v>
      </c>
      <c r="B2714" s="13" t="s">
        <v>402</v>
      </c>
      <c r="C2714" s="13" t="s">
        <v>400</v>
      </c>
      <c r="D2714" s="14">
        <v>1072.9916742877467</v>
      </c>
      <c r="E2714" s="14">
        <v>277.12223521574793</v>
      </c>
      <c r="F2714" s="14">
        <v>148.115757874742</v>
      </c>
      <c r="G2714" s="14">
        <v>141.43190433536114</v>
      </c>
      <c r="H2714" s="14">
        <v>134.21886508393473</v>
      </c>
      <c r="I2714" s="14">
        <v>108.42065556138775</v>
      </c>
      <c r="J2714" s="14">
        <v>75.899263089237834</v>
      </c>
    </row>
    <row r="2715" spans="1:10" ht="15.75" x14ac:dyDescent="0.5">
      <c r="A2715" s="13" t="s">
        <v>378</v>
      </c>
      <c r="B2715" s="13" t="s">
        <v>403</v>
      </c>
      <c r="C2715" s="13" t="s">
        <v>400</v>
      </c>
      <c r="D2715" s="14" t="s">
        <v>250</v>
      </c>
      <c r="E2715" s="14" t="s">
        <v>250</v>
      </c>
      <c r="F2715" s="14">
        <v>52.270841928770494</v>
      </c>
      <c r="G2715" s="14">
        <v>52.27084192877043</v>
      </c>
      <c r="H2715" s="14">
        <v>10.606608484398977</v>
      </c>
      <c r="I2715" s="14">
        <v>10.606608484398976</v>
      </c>
      <c r="J2715" s="14" t="s">
        <v>250</v>
      </c>
    </row>
    <row r="2716" spans="1:10" ht="15.75" x14ac:dyDescent="0.5">
      <c r="A2716" s="13" t="s">
        <v>378</v>
      </c>
      <c r="B2716" s="13" t="s">
        <v>404</v>
      </c>
      <c r="C2716" s="13" t="s">
        <v>400</v>
      </c>
      <c r="D2716" s="14" t="s">
        <v>250</v>
      </c>
      <c r="E2716" s="14" t="s">
        <v>250</v>
      </c>
      <c r="F2716" s="14" t="s">
        <v>250</v>
      </c>
      <c r="G2716" s="14" t="s">
        <v>250</v>
      </c>
      <c r="H2716" s="14" t="s">
        <v>250</v>
      </c>
      <c r="I2716" s="14">
        <v>0.33069896914528535</v>
      </c>
      <c r="J2716" s="14">
        <v>0.33069896914528535</v>
      </c>
    </row>
    <row r="2717" spans="1:10" ht="15.75" x14ac:dyDescent="0.5">
      <c r="A2717" s="13" t="s">
        <v>378</v>
      </c>
      <c r="B2717" s="13" t="s">
        <v>405</v>
      </c>
      <c r="C2717" s="13" t="s">
        <v>400</v>
      </c>
      <c r="D2717" s="14">
        <v>1259.3891290889949</v>
      </c>
      <c r="E2717" s="14">
        <v>1472.8638371644843</v>
      </c>
      <c r="F2717" s="14">
        <v>1653.2754456723201</v>
      </c>
      <c r="G2717" s="14">
        <v>2314.0281803248208</v>
      </c>
      <c r="H2717" s="14">
        <v>3158.2733733925138</v>
      </c>
      <c r="I2717" s="14">
        <v>3473.2772970131759</v>
      </c>
      <c r="J2717" s="14">
        <v>3324.2765918370774</v>
      </c>
    </row>
    <row r="2718" spans="1:10" ht="15.75" x14ac:dyDescent="0.5">
      <c r="A2718" s="13" t="s">
        <v>378</v>
      </c>
      <c r="B2718" s="13" t="s">
        <v>406</v>
      </c>
      <c r="C2718" s="13" t="s">
        <v>400</v>
      </c>
      <c r="D2718" s="14">
        <v>23.479196814299328</v>
      </c>
      <c r="E2718" s="14">
        <v>29.30237735894665</v>
      </c>
      <c r="F2718" s="14">
        <v>42.700487650270261</v>
      </c>
      <c r="G2718" s="14">
        <v>43.102564458621437</v>
      </c>
      <c r="H2718" s="14">
        <v>42.831559787804018</v>
      </c>
      <c r="I2718" s="14">
        <v>43.934147662465868</v>
      </c>
      <c r="J2718" s="14">
        <v>40.685042859392823</v>
      </c>
    </row>
    <row r="2719" spans="1:10" ht="15.75" x14ac:dyDescent="0.5">
      <c r="A2719" s="13" t="s">
        <v>378</v>
      </c>
      <c r="B2719" s="13" t="s">
        <v>407</v>
      </c>
      <c r="C2719" s="13" t="s">
        <v>400</v>
      </c>
      <c r="D2719" s="14" t="s">
        <v>250</v>
      </c>
      <c r="E2719" s="14">
        <v>96.470320868151617</v>
      </c>
      <c r="F2719" s="14">
        <v>43.90251646318923</v>
      </c>
      <c r="G2719" s="14">
        <v>72.408678621593694</v>
      </c>
      <c r="H2719" s="14">
        <v>30.200171664261418</v>
      </c>
      <c r="I2719" s="14">
        <v>20.427576059888789</v>
      </c>
      <c r="J2719" s="14">
        <v>3.6094927385927478</v>
      </c>
    </row>
    <row r="2720" spans="1:10" ht="15.75" x14ac:dyDescent="0.5">
      <c r="A2720" s="13" t="s">
        <v>378</v>
      </c>
      <c r="B2720" s="13" t="s">
        <v>408</v>
      </c>
      <c r="C2720" s="13" t="s">
        <v>400</v>
      </c>
      <c r="D2720" s="14">
        <v>46.892290321001219</v>
      </c>
      <c r="E2720" s="14">
        <v>30.068878662879104</v>
      </c>
      <c r="F2720" s="14">
        <v>22.698287654709411</v>
      </c>
      <c r="G2720" s="14">
        <v>26.469585706568495</v>
      </c>
      <c r="H2720" s="14">
        <v>28.143609285582507</v>
      </c>
      <c r="I2720" s="14">
        <v>28.460950436520179</v>
      </c>
      <c r="J2720" s="14">
        <v>26.534828680049092</v>
      </c>
    </row>
    <row r="2721" spans="1:10" ht="15.75" x14ac:dyDescent="0.5">
      <c r="A2721" s="13" t="s">
        <v>378</v>
      </c>
      <c r="B2721" s="13" t="s">
        <v>409</v>
      </c>
      <c r="C2721" s="13" t="s">
        <v>400</v>
      </c>
      <c r="D2721" s="14">
        <v>18.365704270000037</v>
      </c>
      <c r="E2721" s="14">
        <v>18.365704270000037</v>
      </c>
      <c r="F2721" s="14">
        <v>18.365704270000037</v>
      </c>
      <c r="G2721" s="14">
        <v>18.365704270000034</v>
      </c>
      <c r="H2721" s="14">
        <v>18.365704270000034</v>
      </c>
      <c r="I2721" s="14">
        <v>18.365704270000037</v>
      </c>
      <c r="J2721" s="14">
        <v>18.365704270000037</v>
      </c>
    </row>
    <row r="2722" spans="1:10" ht="15.75" x14ac:dyDescent="0.5">
      <c r="A2722" s="13" t="s">
        <v>378</v>
      </c>
      <c r="B2722" s="13" t="s">
        <v>410</v>
      </c>
      <c r="C2722" s="13" t="s">
        <v>400</v>
      </c>
      <c r="D2722" s="14">
        <v>245.79356253202212</v>
      </c>
      <c r="E2722" s="14">
        <v>244.5891751265622</v>
      </c>
      <c r="F2722" s="14">
        <v>245.76594405331593</v>
      </c>
      <c r="G2722" s="14">
        <v>246.14973280241287</v>
      </c>
      <c r="H2722" s="14">
        <v>246.16997594139096</v>
      </c>
      <c r="I2722" s="14">
        <v>246.16997594139102</v>
      </c>
      <c r="J2722" s="14">
        <v>246.16997594139076</v>
      </c>
    </row>
    <row r="2723" spans="1:10" ht="15.75" x14ac:dyDescent="0.5">
      <c r="A2723" s="13" t="s">
        <v>378</v>
      </c>
      <c r="B2723" s="13" t="s">
        <v>411</v>
      </c>
      <c r="C2723" s="13" t="s">
        <v>400</v>
      </c>
      <c r="D2723" s="14">
        <v>7.1394000000000171</v>
      </c>
      <c r="E2723" s="14">
        <v>3.559348905109498</v>
      </c>
      <c r="F2723" s="14" t="s">
        <v>250</v>
      </c>
      <c r="G2723" s="14" t="s">
        <v>250</v>
      </c>
      <c r="H2723" s="14" t="s">
        <v>250</v>
      </c>
      <c r="I2723" s="14" t="s">
        <v>250</v>
      </c>
      <c r="J2723" s="14" t="s">
        <v>250</v>
      </c>
    </row>
    <row r="2724" spans="1:10" ht="15.75" x14ac:dyDescent="0.5">
      <c r="A2724" s="13" t="s">
        <v>378</v>
      </c>
      <c r="B2724" s="13" t="s">
        <v>412</v>
      </c>
      <c r="C2724" s="13" t="s">
        <v>400</v>
      </c>
      <c r="D2724" s="14">
        <v>760.72545968400186</v>
      </c>
      <c r="E2724" s="14">
        <v>742.91825873033213</v>
      </c>
      <c r="F2724" s="14">
        <v>522.51132643312667</v>
      </c>
      <c r="G2724" s="14">
        <v>568.56530063776154</v>
      </c>
      <c r="H2724" s="14">
        <v>591.04591183741593</v>
      </c>
      <c r="I2724" s="14">
        <v>591.04591183741582</v>
      </c>
      <c r="J2724" s="14">
        <v>549.24905236340044</v>
      </c>
    </row>
    <row r="2725" spans="1:10" ht="15.75" x14ac:dyDescent="0.5">
      <c r="A2725" s="13" t="s">
        <v>378</v>
      </c>
      <c r="B2725" s="13" t="s">
        <v>413</v>
      </c>
      <c r="C2725" s="13" t="s">
        <v>400</v>
      </c>
      <c r="D2725" s="14">
        <v>23.702927619886136</v>
      </c>
      <c r="E2725" s="14">
        <v>27.11414120711861</v>
      </c>
      <c r="F2725" s="14">
        <v>10.254676642812315</v>
      </c>
      <c r="G2725" s="14">
        <v>4.2496564128595473</v>
      </c>
      <c r="H2725" s="14">
        <v>1.7596531793708281</v>
      </c>
      <c r="I2725" s="14">
        <v>1.6128586075300539</v>
      </c>
      <c r="J2725" s="14">
        <v>1.0843266408016525</v>
      </c>
    </row>
    <row r="2726" spans="1:10" ht="15.75" x14ac:dyDescent="0.5">
      <c r="A2726" s="13" t="s">
        <v>378</v>
      </c>
      <c r="B2726" s="13" t="s">
        <v>414</v>
      </c>
      <c r="C2726" s="13" t="s">
        <v>400</v>
      </c>
      <c r="D2726" s="14">
        <v>0.6803907705109502</v>
      </c>
      <c r="E2726" s="14">
        <v>24.425204477336266</v>
      </c>
      <c r="F2726" s="14">
        <v>100.38067476198513</v>
      </c>
      <c r="G2726" s="14">
        <v>206.43601498488542</v>
      </c>
      <c r="H2726" s="14">
        <v>252.85250057533884</v>
      </c>
      <c r="I2726" s="14">
        <v>254.36933808520965</v>
      </c>
      <c r="J2726" s="14">
        <v>255.54387009688247</v>
      </c>
    </row>
    <row r="2727" spans="1:10" ht="15.75" x14ac:dyDescent="0.5">
      <c r="A2727" s="13" t="s">
        <v>378</v>
      </c>
      <c r="B2727" s="13" t="s">
        <v>415</v>
      </c>
      <c r="C2727" s="13" t="s">
        <v>400</v>
      </c>
      <c r="D2727" s="14">
        <v>440.53124483255539</v>
      </c>
      <c r="E2727" s="14">
        <v>873.81161417244357</v>
      </c>
      <c r="F2727" s="14">
        <v>1349.9012492307868</v>
      </c>
      <c r="G2727" s="14">
        <v>1420.3946866731126</v>
      </c>
      <c r="H2727" s="14">
        <v>1481.9604985340943</v>
      </c>
      <c r="I2727" s="14">
        <v>1523.6447317671086</v>
      </c>
      <c r="J2727" s="14">
        <v>1752.4237880726669</v>
      </c>
    </row>
    <row r="2728" spans="1:10" ht="15.75" x14ac:dyDescent="0.5">
      <c r="A2728" s="13" t="s">
        <v>378</v>
      </c>
      <c r="B2728" s="13" t="s">
        <v>416</v>
      </c>
      <c r="C2728" s="13" t="s">
        <v>400</v>
      </c>
      <c r="D2728" s="14" t="s">
        <v>250</v>
      </c>
      <c r="E2728" s="14">
        <v>70.934498682900724</v>
      </c>
      <c r="F2728" s="14">
        <v>100.19546122793699</v>
      </c>
      <c r="G2728" s="14">
        <v>127.69344447727374</v>
      </c>
      <c r="H2728" s="14">
        <v>145.88323771792341</v>
      </c>
      <c r="I2728" s="14">
        <v>165.77906731373227</v>
      </c>
      <c r="J2728" s="14">
        <v>186.28657305490805</v>
      </c>
    </row>
    <row r="2729" spans="1:10" ht="15.75" x14ac:dyDescent="0.5">
      <c r="A2729" s="13" t="s">
        <v>378</v>
      </c>
      <c r="B2729" s="13" t="s">
        <v>417</v>
      </c>
      <c r="C2729" s="13" t="s">
        <v>400</v>
      </c>
      <c r="D2729" s="14">
        <v>187.48709633408686</v>
      </c>
      <c r="E2729" s="14">
        <v>298.36286233429848</v>
      </c>
      <c r="F2729" s="14">
        <v>340.42596633657746</v>
      </c>
      <c r="G2729" s="14">
        <v>457.38747578753402</v>
      </c>
      <c r="H2729" s="14">
        <v>794.07474776642323</v>
      </c>
      <c r="I2729" s="14">
        <v>1350.0910449144542</v>
      </c>
      <c r="J2729" s="14">
        <v>1957.881757616982</v>
      </c>
    </row>
    <row r="2730" spans="1:10" ht="15.75" x14ac:dyDescent="0.5">
      <c r="A2730" s="13" t="s">
        <v>378</v>
      </c>
      <c r="B2730" s="13" t="s">
        <v>418</v>
      </c>
      <c r="C2730" s="13" t="s">
        <v>400</v>
      </c>
      <c r="D2730" s="14">
        <v>3.1841751731019534</v>
      </c>
      <c r="E2730" s="14">
        <v>3.184175173101953</v>
      </c>
      <c r="F2730" s="14">
        <v>3.1841751731019525</v>
      </c>
      <c r="G2730" s="14">
        <v>3.184175173101953</v>
      </c>
      <c r="H2730" s="14">
        <v>3.1841751731019534</v>
      </c>
      <c r="I2730" s="14">
        <v>3.1841751731019539</v>
      </c>
      <c r="J2730" s="14">
        <v>3.1841751731019534</v>
      </c>
    </row>
    <row r="2731" spans="1:10" ht="15.75" x14ac:dyDescent="0.5">
      <c r="A2731" s="13" t="s">
        <v>378</v>
      </c>
      <c r="B2731" s="13" t="s">
        <v>419</v>
      </c>
      <c r="C2731" s="13" t="s">
        <v>400</v>
      </c>
      <c r="D2731" s="14">
        <v>0.54465920264079504</v>
      </c>
      <c r="E2731" s="14">
        <v>8.9357460650801563</v>
      </c>
      <c r="F2731" s="14">
        <v>17.545865460602808</v>
      </c>
      <c r="G2731" s="14">
        <v>43.494724120691721</v>
      </c>
      <c r="H2731" s="14">
        <v>103.01238089871063</v>
      </c>
      <c r="I2731" s="14">
        <v>189.37823161412391</v>
      </c>
      <c r="J2731" s="14">
        <v>324.23092150786971</v>
      </c>
    </row>
    <row r="2732" spans="1:10" ht="15.75" x14ac:dyDescent="0.5">
      <c r="A2732" s="13" t="s">
        <v>378</v>
      </c>
      <c r="B2732" s="13" t="s">
        <v>420</v>
      </c>
      <c r="C2732" s="13" t="s">
        <v>400</v>
      </c>
      <c r="D2732" s="14">
        <v>-13.987252957808394</v>
      </c>
      <c r="E2732" s="14">
        <v>-13.607730119789473</v>
      </c>
      <c r="F2732" s="14">
        <v>-12.355870954647497</v>
      </c>
      <c r="G2732" s="14">
        <v>-11.382327179782109</v>
      </c>
      <c r="H2732" s="14">
        <v>-14.048680284857461</v>
      </c>
      <c r="I2732" s="14">
        <v>-15.688022788079422</v>
      </c>
      <c r="J2732" s="14">
        <v>-17.787616892761942</v>
      </c>
    </row>
    <row r="2733" spans="1:10" ht="15.75" x14ac:dyDescent="0.5">
      <c r="A2733" s="13" t="s">
        <v>379</v>
      </c>
      <c r="B2733" s="13" t="s">
        <v>399</v>
      </c>
      <c r="C2733" s="13" t="s">
        <v>400</v>
      </c>
      <c r="D2733" s="14">
        <v>7.2499064625597889</v>
      </c>
      <c r="E2733" s="14">
        <v>0.20898282707147059</v>
      </c>
      <c r="F2733" s="14">
        <v>0.51246000000000103</v>
      </c>
      <c r="G2733" s="14">
        <v>0.33375600000000061</v>
      </c>
      <c r="H2733" s="14">
        <v>0.31254621897810281</v>
      </c>
      <c r="I2733" s="14">
        <v>0.50601065693430758</v>
      </c>
      <c r="J2733" s="14">
        <v>0.27336245255474501</v>
      </c>
    </row>
    <row r="2734" spans="1:10" ht="15.75" x14ac:dyDescent="0.5">
      <c r="A2734" s="13" t="s">
        <v>379</v>
      </c>
      <c r="B2734" s="13" t="s">
        <v>401</v>
      </c>
      <c r="C2734" s="13" t="s">
        <v>400</v>
      </c>
      <c r="D2734" s="14" t="s">
        <v>250</v>
      </c>
      <c r="E2734" s="14" t="s">
        <v>250</v>
      </c>
      <c r="F2734" s="14">
        <v>84.877079064306955</v>
      </c>
      <c r="G2734" s="14">
        <v>84.87707906430694</v>
      </c>
      <c r="H2734" s="14">
        <v>16.921919798381559</v>
      </c>
      <c r="I2734" s="14">
        <v>15.193760431675456</v>
      </c>
      <c r="J2734" s="14" t="s">
        <v>250</v>
      </c>
    </row>
    <row r="2735" spans="1:10" ht="15.75" x14ac:dyDescent="0.5">
      <c r="A2735" s="13" t="s">
        <v>379</v>
      </c>
      <c r="B2735" s="13" t="s">
        <v>402</v>
      </c>
      <c r="C2735" s="13" t="s">
        <v>400</v>
      </c>
      <c r="D2735" s="14">
        <v>1072.9916742877465</v>
      </c>
      <c r="E2735" s="14">
        <v>277.12223520449584</v>
      </c>
      <c r="F2735" s="14">
        <v>148.11575789375286</v>
      </c>
      <c r="G2735" s="14">
        <v>141.43190435232097</v>
      </c>
      <c r="H2735" s="14">
        <v>134.21886548198111</v>
      </c>
      <c r="I2735" s="14">
        <v>108.42065557401321</v>
      </c>
      <c r="J2735" s="14">
        <v>75.899263091778181</v>
      </c>
    </row>
    <row r="2736" spans="1:10" ht="15.75" x14ac:dyDescent="0.5">
      <c r="A2736" s="13" t="s">
        <v>379</v>
      </c>
      <c r="B2736" s="13" t="s">
        <v>403</v>
      </c>
      <c r="C2736" s="13" t="s">
        <v>400</v>
      </c>
      <c r="D2736" s="14" t="s">
        <v>250</v>
      </c>
      <c r="E2736" s="14" t="s">
        <v>250</v>
      </c>
      <c r="F2736" s="14">
        <v>52.270841928770452</v>
      </c>
      <c r="G2736" s="14">
        <v>52.27084192877043</v>
      </c>
      <c r="H2736" s="14">
        <v>10.606608484398972</v>
      </c>
      <c r="I2736" s="14">
        <v>10.60660848439897</v>
      </c>
      <c r="J2736" s="14" t="s">
        <v>250</v>
      </c>
    </row>
    <row r="2737" spans="1:10" ht="15.75" x14ac:dyDescent="0.5">
      <c r="A2737" s="13" t="s">
        <v>379</v>
      </c>
      <c r="B2737" s="13" t="s">
        <v>404</v>
      </c>
      <c r="C2737" s="13" t="s">
        <v>400</v>
      </c>
      <c r="D2737" s="14" t="s">
        <v>250</v>
      </c>
      <c r="E2737" s="14" t="s">
        <v>250</v>
      </c>
      <c r="F2737" s="14" t="s">
        <v>250</v>
      </c>
      <c r="G2737" s="14" t="s">
        <v>250</v>
      </c>
      <c r="H2737" s="14" t="s">
        <v>250</v>
      </c>
      <c r="I2737" s="14">
        <v>0.33069896914528529</v>
      </c>
      <c r="J2737" s="14">
        <v>0.33069896914528535</v>
      </c>
    </row>
    <row r="2738" spans="1:10" ht="15.75" x14ac:dyDescent="0.5">
      <c r="A2738" s="13" t="s">
        <v>379</v>
      </c>
      <c r="B2738" s="13" t="s">
        <v>405</v>
      </c>
      <c r="C2738" s="13" t="s">
        <v>400</v>
      </c>
      <c r="D2738" s="14">
        <v>1259.3891290889949</v>
      </c>
      <c r="E2738" s="14">
        <v>1472.8638370836297</v>
      </c>
      <c r="F2738" s="14">
        <v>1653.275445527189</v>
      </c>
      <c r="G2738" s="14">
        <v>2314.0281801391307</v>
      </c>
      <c r="H2738" s="14">
        <v>3158.2733735067141</v>
      </c>
      <c r="I2738" s="14">
        <v>3473.2772970213482</v>
      </c>
      <c r="J2738" s="14">
        <v>3324.2765918219966</v>
      </c>
    </row>
    <row r="2739" spans="1:10" ht="15.75" x14ac:dyDescent="0.5">
      <c r="A2739" s="13" t="s">
        <v>379</v>
      </c>
      <c r="B2739" s="13" t="s">
        <v>406</v>
      </c>
      <c r="C2739" s="13" t="s">
        <v>400</v>
      </c>
      <c r="D2739" s="14">
        <v>23.479196814299335</v>
      </c>
      <c r="E2739" s="14">
        <v>29.302377350424571</v>
      </c>
      <c r="F2739" s="14">
        <v>42.700487652407645</v>
      </c>
      <c r="G2739" s="14">
        <v>43.102564455983412</v>
      </c>
      <c r="H2739" s="14">
        <v>42.831559784779543</v>
      </c>
      <c r="I2739" s="14">
        <v>43.934147660238409</v>
      </c>
      <c r="J2739" s="14">
        <v>40.685042857319473</v>
      </c>
    </row>
    <row r="2740" spans="1:10" ht="15.75" x14ac:dyDescent="0.5">
      <c r="A2740" s="13" t="s">
        <v>379</v>
      </c>
      <c r="B2740" s="13" t="s">
        <v>407</v>
      </c>
      <c r="C2740" s="13" t="s">
        <v>400</v>
      </c>
      <c r="D2740" s="14" t="s">
        <v>250</v>
      </c>
      <c r="E2740" s="14">
        <v>96.470320877131769</v>
      </c>
      <c r="F2740" s="14">
        <v>43.902516444656555</v>
      </c>
      <c r="G2740" s="14">
        <v>72.408678576845332</v>
      </c>
      <c r="H2740" s="14">
        <v>30.200171663764664</v>
      </c>
      <c r="I2740" s="14">
        <v>20.427576058414658</v>
      </c>
      <c r="J2740" s="14">
        <v>3.6094927385359243</v>
      </c>
    </row>
    <row r="2741" spans="1:10" ht="15.75" x14ac:dyDescent="0.5">
      <c r="A2741" s="13" t="s">
        <v>379</v>
      </c>
      <c r="B2741" s="13" t="s">
        <v>408</v>
      </c>
      <c r="C2741" s="13" t="s">
        <v>400</v>
      </c>
      <c r="D2741" s="14">
        <v>46.892290321001227</v>
      </c>
      <c r="E2741" s="14">
        <v>30.068878662784222</v>
      </c>
      <c r="F2741" s="14">
        <v>22.698287658316932</v>
      </c>
      <c r="G2741" s="14">
        <v>26.469585701126054</v>
      </c>
      <c r="H2741" s="14">
        <v>28.143609285582674</v>
      </c>
      <c r="I2741" s="14">
        <v>28.460950437831606</v>
      </c>
      <c r="J2741" s="14">
        <v>26.53482921607403</v>
      </c>
    </row>
    <row r="2742" spans="1:10" ht="15.75" x14ac:dyDescent="0.5">
      <c r="A2742" s="13" t="s">
        <v>379</v>
      </c>
      <c r="B2742" s="13" t="s">
        <v>409</v>
      </c>
      <c r="C2742" s="13" t="s">
        <v>400</v>
      </c>
      <c r="D2742" s="14">
        <v>18.365704270000034</v>
      </c>
      <c r="E2742" s="14">
        <v>18.365704270000037</v>
      </c>
      <c r="F2742" s="14">
        <v>18.365704270000034</v>
      </c>
      <c r="G2742" s="14">
        <v>18.365704270000034</v>
      </c>
      <c r="H2742" s="14">
        <v>18.365704270000037</v>
      </c>
      <c r="I2742" s="14">
        <v>18.36570427000003</v>
      </c>
      <c r="J2742" s="14">
        <v>18.365704270000041</v>
      </c>
    </row>
    <row r="2743" spans="1:10" ht="15.75" x14ac:dyDescent="0.5">
      <c r="A2743" s="13" t="s">
        <v>379</v>
      </c>
      <c r="B2743" s="13" t="s">
        <v>410</v>
      </c>
      <c r="C2743" s="13" t="s">
        <v>400</v>
      </c>
      <c r="D2743" s="14">
        <v>245.79356253202209</v>
      </c>
      <c r="E2743" s="14">
        <v>244.58917512656225</v>
      </c>
      <c r="F2743" s="14">
        <v>245.76594405210366</v>
      </c>
      <c r="G2743" s="14">
        <v>246.14973280241296</v>
      </c>
      <c r="H2743" s="14">
        <v>246.16997594139096</v>
      </c>
      <c r="I2743" s="14">
        <v>246.16997594139099</v>
      </c>
      <c r="J2743" s="14">
        <v>246.1699759413913</v>
      </c>
    </row>
    <row r="2744" spans="1:10" ht="15.75" x14ac:dyDescent="0.5">
      <c r="A2744" s="13" t="s">
        <v>379</v>
      </c>
      <c r="B2744" s="13" t="s">
        <v>411</v>
      </c>
      <c r="C2744" s="13" t="s">
        <v>400</v>
      </c>
      <c r="D2744" s="14">
        <v>7.139400000000018</v>
      </c>
      <c r="E2744" s="14">
        <v>3.5593489051094975</v>
      </c>
      <c r="F2744" s="14" t="s">
        <v>250</v>
      </c>
      <c r="G2744" s="14" t="s">
        <v>250</v>
      </c>
      <c r="H2744" s="14" t="s">
        <v>250</v>
      </c>
      <c r="I2744" s="14" t="s">
        <v>250</v>
      </c>
      <c r="J2744" s="14" t="s">
        <v>250</v>
      </c>
    </row>
    <row r="2745" spans="1:10" ht="15.75" x14ac:dyDescent="0.5">
      <c r="A2745" s="13" t="s">
        <v>379</v>
      </c>
      <c r="B2745" s="13" t="s">
        <v>412</v>
      </c>
      <c r="C2745" s="13" t="s">
        <v>400</v>
      </c>
      <c r="D2745" s="14">
        <v>760.72545968400186</v>
      </c>
      <c r="E2745" s="14">
        <v>742.9182587442599</v>
      </c>
      <c r="F2745" s="14">
        <v>522.51132648441546</v>
      </c>
      <c r="G2745" s="14">
        <v>568.56530068055167</v>
      </c>
      <c r="H2745" s="14">
        <v>591.04591188001677</v>
      </c>
      <c r="I2745" s="14">
        <v>591.04591188001677</v>
      </c>
      <c r="J2745" s="14">
        <v>549.24905235089454</v>
      </c>
    </row>
    <row r="2746" spans="1:10" ht="15.75" x14ac:dyDescent="0.5">
      <c r="A2746" s="13" t="s">
        <v>379</v>
      </c>
      <c r="B2746" s="13" t="s">
        <v>413</v>
      </c>
      <c r="C2746" s="13" t="s">
        <v>400</v>
      </c>
      <c r="D2746" s="14">
        <v>23.702927619886133</v>
      </c>
      <c r="E2746" s="14">
        <v>27.114141206512254</v>
      </c>
      <c r="F2746" s="14">
        <v>10.254676610555777</v>
      </c>
      <c r="G2746" s="14">
        <v>4.2496564121557068</v>
      </c>
      <c r="H2746" s="14">
        <v>1.7596531840323331</v>
      </c>
      <c r="I2746" s="14">
        <v>1.6128586072612774</v>
      </c>
      <c r="J2746" s="14">
        <v>1.0843266409037562</v>
      </c>
    </row>
    <row r="2747" spans="1:10" ht="15.75" x14ac:dyDescent="0.5">
      <c r="A2747" s="13" t="s">
        <v>379</v>
      </c>
      <c r="B2747" s="13" t="s">
        <v>414</v>
      </c>
      <c r="C2747" s="13" t="s">
        <v>400</v>
      </c>
      <c r="D2747" s="14">
        <v>0.6803907705109502</v>
      </c>
      <c r="E2747" s="14">
        <v>24.425204522761945</v>
      </c>
      <c r="F2747" s="14">
        <v>100.38067496374545</v>
      </c>
      <c r="G2747" s="14">
        <v>206.43601519088756</v>
      </c>
      <c r="H2747" s="14">
        <v>252.85250078318688</v>
      </c>
      <c r="I2747" s="14">
        <v>254.36933829443234</v>
      </c>
      <c r="J2747" s="14">
        <v>255.54387030716563</v>
      </c>
    </row>
    <row r="2748" spans="1:10" ht="15.75" x14ac:dyDescent="0.5">
      <c r="A2748" s="13" t="s">
        <v>379</v>
      </c>
      <c r="B2748" s="13" t="s">
        <v>415</v>
      </c>
      <c r="C2748" s="13" t="s">
        <v>400</v>
      </c>
      <c r="D2748" s="14">
        <v>440.53124483255556</v>
      </c>
      <c r="E2748" s="14">
        <v>873.811614172443</v>
      </c>
      <c r="F2748" s="14">
        <v>1349.9012492316542</v>
      </c>
      <c r="G2748" s="14">
        <v>1420.394686684411</v>
      </c>
      <c r="H2748" s="14">
        <v>1481.9604976010278</v>
      </c>
      <c r="I2748" s="14">
        <v>1523.6447325360139</v>
      </c>
      <c r="J2748" s="14">
        <v>1752.4237878666609</v>
      </c>
    </row>
    <row r="2749" spans="1:10" ht="15.75" x14ac:dyDescent="0.5">
      <c r="A2749" s="13" t="s">
        <v>379</v>
      </c>
      <c r="B2749" s="13" t="s">
        <v>416</v>
      </c>
      <c r="C2749" s="13" t="s">
        <v>400</v>
      </c>
      <c r="D2749" s="14" t="s">
        <v>250</v>
      </c>
      <c r="E2749" s="14">
        <v>70.934498682900724</v>
      </c>
      <c r="F2749" s="14">
        <v>100.195461227937</v>
      </c>
      <c r="G2749" s="14">
        <v>127.6934444772737</v>
      </c>
      <c r="H2749" s="14">
        <v>145.88323771792341</v>
      </c>
      <c r="I2749" s="14">
        <v>165.77906731373216</v>
      </c>
      <c r="J2749" s="14">
        <v>186.28657305490802</v>
      </c>
    </row>
    <row r="2750" spans="1:10" ht="15.75" x14ac:dyDescent="0.5">
      <c r="A2750" s="13" t="s">
        <v>379</v>
      </c>
      <c r="B2750" s="13" t="s">
        <v>417</v>
      </c>
      <c r="C2750" s="13" t="s">
        <v>400</v>
      </c>
      <c r="D2750" s="14">
        <v>187.48709633408691</v>
      </c>
      <c r="E2750" s="14">
        <v>298.3628623342982</v>
      </c>
      <c r="F2750" s="14">
        <v>340.42596633657746</v>
      </c>
      <c r="G2750" s="14">
        <v>457.38747579298968</v>
      </c>
      <c r="H2750" s="14">
        <v>794.07474787747026</v>
      </c>
      <c r="I2750" s="14">
        <v>1350.0910436326515</v>
      </c>
      <c r="J2750" s="14">
        <v>1957.8817569572761</v>
      </c>
    </row>
    <row r="2751" spans="1:10" ht="15.75" x14ac:dyDescent="0.5">
      <c r="A2751" s="13" t="s">
        <v>379</v>
      </c>
      <c r="B2751" s="13" t="s">
        <v>418</v>
      </c>
      <c r="C2751" s="13" t="s">
        <v>400</v>
      </c>
      <c r="D2751" s="14">
        <v>3.1841751731019534</v>
      </c>
      <c r="E2751" s="14">
        <v>3.1841751731019539</v>
      </c>
      <c r="F2751" s="14">
        <v>3.1841751731019534</v>
      </c>
      <c r="G2751" s="14">
        <v>3.1841751731019534</v>
      </c>
      <c r="H2751" s="14">
        <v>3.1841751731019525</v>
      </c>
      <c r="I2751" s="14">
        <v>3.1841751731019534</v>
      </c>
      <c r="J2751" s="14">
        <v>3.1841751731019534</v>
      </c>
    </row>
    <row r="2752" spans="1:10" ht="15.75" x14ac:dyDescent="0.5">
      <c r="A2752" s="13" t="s">
        <v>379</v>
      </c>
      <c r="B2752" s="13" t="s">
        <v>419</v>
      </c>
      <c r="C2752" s="13" t="s">
        <v>400</v>
      </c>
      <c r="D2752" s="14">
        <v>0.54465920264079504</v>
      </c>
      <c r="E2752" s="14">
        <v>8.9357460655554206</v>
      </c>
      <c r="F2752" s="14">
        <v>17.545876427910589</v>
      </c>
      <c r="G2752" s="14">
        <v>43.494731684103712</v>
      </c>
      <c r="H2752" s="14">
        <v>103.01203336357442</v>
      </c>
      <c r="I2752" s="14">
        <v>189.37823148398755</v>
      </c>
      <c r="J2752" s="14">
        <v>324.2309213515224</v>
      </c>
    </row>
    <row r="2753" spans="1:10" ht="15.75" x14ac:dyDescent="0.5">
      <c r="A2753" s="13" t="s">
        <v>379</v>
      </c>
      <c r="B2753" s="13" t="s">
        <v>420</v>
      </c>
      <c r="C2753" s="13" t="s">
        <v>400</v>
      </c>
      <c r="D2753" s="14">
        <v>-13.987252957808451</v>
      </c>
      <c r="E2753" s="14">
        <v>-13.607730104104139</v>
      </c>
      <c r="F2753" s="14">
        <v>-12.355750594256293</v>
      </c>
      <c r="G2753" s="14">
        <v>-11.381387800383941</v>
      </c>
      <c r="H2753" s="14">
        <v>-14.048680285825226</v>
      </c>
      <c r="I2753" s="14">
        <v>-15.688022786121508</v>
      </c>
      <c r="J2753" s="14">
        <v>-17.78761688527063</v>
      </c>
    </row>
    <row r="2754" spans="1:10" ht="15.75" x14ac:dyDescent="0.5">
      <c r="A2754" s="13" t="s">
        <v>380</v>
      </c>
      <c r="B2754" s="13" t="s">
        <v>399</v>
      </c>
      <c r="C2754" s="13" t="s">
        <v>400</v>
      </c>
      <c r="D2754" s="14">
        <v>7.2499064625597898</v>
      </c>
      <c r="E2754" s="14">
        <v>0.20898282707149091</v>
      </c>
      <c r="F2754" s="14">
        <v>0.51246000000000103</v>
      </c>
      <c r="G2754" s="14">
        <v>0.33375600000000066</v>
      </c>
      <c r="H2754" s="14">
        <v>0.31594898134104327</v>
      </c>
      <c r="I2754" s="14">
        <v>0.31656183941605898</v>
      </c>
      <c r="J2754" s="14">
        <v>9.0504000000000154E-2</v>
      </c>
    </row>
    <row r="2755" spans="1:10" ht="15.75" x14ac:dyDescent="0.5">
      <c r="A2755" s="13" t="s">
        <v>380</v>
      </c>
      <c r="B2755" s="13" t="s">
        <v>401</v>
      </c>
      <c r="C2755" s="13" t="s">
        <v>400</v>
      </c>
      <c r="D2755" s="14" t="s">
        <v>250</v>
      </c>
      <c r="E2755" s="14" t="s">
        <v>250</v>
      </c>
      <c r="F2755" s="14">
        <v>84.864293851172619</v>
      </c>
      <c r="G2755" s="14">
        <v>84.864293851172619</v>
      </c>
      <c r="H2755" s="14">
        <v>16.900091672070381</v>
      </c>
      <c r="I2755" s="14">
        <v>15.304069833570244</v>
      </c>
      <c r="J2755" s="14" t="s">
        <v>250</v>
      </c>
    </row>
    <row r="2756" spans="1:10" ht="15.75" x14ac:dyDescent="0.5">
      <c r="A2756" s="13" t="s">
        <v>380</v>
      </c>
      <c r="B2756" s="13" t="s">
        <v>402</v>
      </c>
      <c r="C2756" s="13" t="s">
        <v>400</v>
      </c>
      <c r="D2756" s="14">
        <v>1072.9916742877469</v>
      </c>
      <c r="E2756" s="14">
        <v>277.03247952232084</v>
      </c>
      <c r="F2756" s="14">
        <v>148.07883815382016</v>
      </c>
      <c r="G2756" s="14">
        <v>141.64142029025217</v>
      </c>
      <c r="H2756" s="14">
        <v>134.26999528881268</v>
      </c>
      <c r="I2756" s="14">
        <v>108.96848990633447</v>
      </c>
      <c r="J2756" s="14">
        <v>75.713368267255433</v>
      </c>
    </row>
    <row r="2757" spans="1:10" ht="15.75" x14ac:dyDescent="0.5">
      <c r="A2757" s="13" t="s">
        <v>380</v>
      </c>
      <c r="B2757" s="13" t="s">
        <v>403</v>
      </c>
      <c r="C2757" s="13" t="s">
        <v>400</v>
      </c>
      <c r="D2757" s="14" t="s">
        <v>250</v>
      </c>
      <c r="E2757" s="14" t="s">
        <v>250</v>
      </c>
      <c r="F2757" s="14">
        <v>52.254608975930751</v>
      </c>
      <c r="G2757" s="14">
        <v>52.254608975930708</v>
      </c>
      <c r="H2757" s="14">
        <v>10.603254568522996</v>
      </c>
      <c r="I2757" s="14">
        <v>10.603254568522994</v>
      </c>
      <c r="J2757" s="14" t="s">
        <v>250</v>
      </c>
    </row>
    <row r="2758" spans="1:10" ht="15.75" x14ac:dyDescent="0.5">
      <c r="A2758" s="13" t="s">
        <v>380</v>
      </c>
      <c r="B2758" s="13" t="s">
        <v>404</v>
      </c>
      <c r="C2758" s="13" t="s">
        <v>400</v>
      </c>
      <c r="D2758" s="14" t="s">
        <v>250</v>
      </c>
      <c r="E2758" s="14" t="s">
        <v>250</v>
      </c>
      <c r="F2758" s="14" t="s">
        <v>250</v>
      </c>
      <c r="G2758" s="14" t="s">
        <v>250</v>
      </c>
      <c r="H2758" s="14" t="s">
        <v>250</v>
      </c>
      <c r="I2758" s="14">
        <v>0.33069896914528529</v>
      </c>
      <c r="J2758" s="14">
        <v>0.3306989691452854</v>
      </c>
    </row>
    <row r="2759" spans="1:10" ht="15.75" x14ac:dyDescent="0.5">
      <c r="A2759" s="13" t="s">
        <v>380</v>
      </c>
      <c r="B2759" s="13" t="s">
        <v>405</v>
      </c>
      <c r="C2759" s="13" t="s">
        <v>400</v>
      </c>
      <c r="D2759" s="14">
        <v>1259.3891290889956</v>
      </c>
      <c r="E2759" s="14">
        <v>1471.7889603021799</v>
      </c>
      <c r="F2759" s="14">
        <v>1653.0927240119122</v>
      </c>
      <c r="G2759" s="14">
        <v>2315.2711200317549</v>
      </c>
      <c r="H2759" s="14">
        <v>3141.4379781540224</v>
      </c>
      <c r="I2759" s="14">
        <v>3473.7345269864886</v>
      </c>
      <c r="J2759" s="14">
        <v>3323.0752182228548</v>
      </c>
    </row>
    <row r="2760" spans="1:10" ht="15.75" x14ac:dyDescent="0.5">
      <c r="A2760" s="13" t="s">
        <v>380</v>
      </c>
      <c r="B2760" s="13" t="s">
        <v>406</v>
      </c>
      <c r="C2760" s="13" t="s">
        <v>400</v>
      </c>
      <c r="D2760" s="14">
        <v>23.479196814299332</v>
      </c>
      <c r="E2760" s="14">
        <v>29.352113200942174</v>
      </c>
      <c r="F2760" s="14">
        <v>42.696987917229414</v>
      </c>
      <c r="G2760" s="14">
        <v>43.101559933262706</v>
      </c>
      <c r="H2760" s="14">
        <v>42.759846087068567</v>
      </c>
      <c r="I2760" s="14">
        <v>44.577496412986754</v>
      </c>
      <c r="J2760" s="14">
        <v>41.38479187280403</v>
      </c>
    </row>
    <row r="2761" spans="1:10" ht="15.75" x14ac:dyDescent="0.5">
      <c r="A2761" s="13" t="s">
        <v>380</v>
      </c>
      <c r="B2761" s="13" t="s">
        <v>407</v>
      </c>
      <c r="C2761" s="13" t="s">
        <v>400</v>
      </c>
      <c r="D2761" s="14" t="s">
        <v>250</v>
      </c>
      <c r="E2761" s="14">
        <v>97.031725065632727</v>
      </c>
      <c r="F2761" s="14">
        <v>43.989072560198778</v>
      </c>
      <c r="G2761" s="14">
        <v>72.450332199123579</v>
      </c>
      <c r="H2761" s="14">
        <v>31.733686271945725</v>
      </c>
      <c r="I2761" s="14">
        <v>12.308688385615222</v>
      </c>
      <c r="J2761" s="14">
        <v>3.4964163561114363</v>
      </c>
    </row>
    <row r="2762" spans="1:10" ht="15.75" x14ac:dyDescent="0.5">
      <c r="A2762" s="13" t="s">
        <v>380</v>
      </c>
      <c r="B2762" s="13" t="s">
        <v>408</v>
      </c>
      <c r="C2762" s="13" t="s">
        <v>400</v>
      </c>
      <c r="D2762" s="14">
        <v>46.892290321001219</v>
      </c>
      <c r="E2762" s="14">
        <v>30.071369596620798</v>
      </c>
      <c r="F2762" s="14">
        <v>22.719327446025584</v>
      </c>
      <c r="G2762" s="14">
        <v>26.851679912990821</v>
      </c>
      <c r="H2762" s="14">
        <v>28.182398045867828</v>
      </c>
      <c r="I2762" s="14">
        <v>27.39803830597576</v>
      </c>
      <c r="J2762" s="14">
        <v>25.793396286331618</v>
      </c>
    </row>
    <row r="2763" spans="1:10" ht="15.75" x14ac:dyDescent="0.5">
      <c r="A2763" s="13" t="s">
        <v>380</v>
      </c>
      <c r="B2763" s="13" t="s">
        <v>409</v>
      </c>
      <c r="C2763" s="13" t="s">
        <v>400</v>
      </c>
      <c r="D2763" s="14">
        <v>18.365704270000034</v>
      </c>
      <c r="E2763" s="14">
        <v>18.365704270000027</v>
      </c>
      <c r="F2763" s="14">
        <v>18.36570427000003</v>
      </c>
      <c r="G2763" s="14">
        <v>18.365704270000034</v>
      </c>
      <c r="H2763" s="14">
        <v>18.365704270000034</v>
      </c>
      <c r="I2763" s="14">
        <v>18.365704270000034</v>
      </c>
      <c r="J2763" s="14">
        <v>18.36570427000003</v>
      </c>
    </row>
    <row r="2764" spans="1:10" ht="15.75" x14ac:dyDescent="0.5">
      <c r="A2764" s="13" t="s">
        <v>380</v>
      </c>
      <c r="B2764" s="13" t="s">
        <v>410</v>
      </c>
      <c r="C2764" s="13" t="s">
        <v>400</v>
      </c>
      <c r="D2764" s="14">
        <v>245.79356253202218</v>
      </c>
      <c r="E2764" s="14">
        <v>244.58943584860069</v>
      </c>
      <c r="F2764" s="14">
        <v>245.72341997993794</v>
      </c>
      <c r="G2764" s="14">
        <v>246.14973280241284</v>
      </c>
      <c r="H2764" s="14">
        <v>246.1699759413909</v>
      </c>
      <c r="I2764" s="14">
        <v>246.16997594139093</v>
      </c>
      <c r="J2764" s="14">
        <v>246.16997594139102</v>
      </c>
    </row>
    <row r="2765" spans="1:10" ht="15.75" x14ac:dyDescent="0.5">
      <c r="A2765" s="13" t="s">
        <v>380</v>
      </c>
      <c r="B2765" s="13" t="s">
        <v>411</v>
      </c>
      <c r="C2765" s="13" t="s">
        <v>400</v>
      </c>
      <c r="D2765" s="14">
        <v>7.1394000000000162</v>
      </c>
      <c r="E2765" s="14">
        <v>3.5593489051094971</v>
      </c>
      <c r="F2765" s="14" t="s">
        <v>250</v>
      </c>
      <c r="G2765" s="14" t="s">
        <v>250</v>
      </c>
      <c r="H2765" s="14" t="s">
        <v>250</v>
      </c>
      <c r="I2765" s="14" t="s">
        <v>250</v>
      </c>
      <c r="J2765" s="14" t="s">
        <v>250</v>
      </c>
    </row>
    <row r="2766" spans="1:10" ht="15.75" x14ac:dyDescent="0.5">
      <c r="A2766" s="13" t="s">
        <v>380</v>
      </c>
      <c r="B2766" s="13" t="s">
        <v>412</v>
      </c>
      <c r="C2766" s="13" t="s">
        <v>400</v>
      </c>
      <c r="D2766" s="14">
        <v>760.72545968400198</v>
      </c>
      <c r="E2766" s="14">
        <v>743.34334750291453</v>
      </c>
      <c r="F2766" s="14">
        <v>523.87674228568881</v>
      </c>
      <c r="G2766" s="14">
        <v>570.210961957481</v>
      </c>
      <c r="H2766" s="14">
        <v>634.82635155665525</v>
      </c>
      <c r="I2766" s="14">
        <v>706.12952053405866</v>
      </c>
      <c r="J2766" s="14">
        <v>651.84517593760052</v>
      </c>
    </row>
    <row r="2767" spans="1:10" ht="15.75" x14ac:dyDescent="0.5">
      <c r="A2767" s="13" t="s">
        <v>380</v>
      </c>
      <c r="B2767" s="13" t="s">
        <v>413</v>
      </c>
      <c r="C2767" s="13" t="s">
        <v>400</v>
      </c>
      <c r="D2767" s="14">
        <v>23.702927619886133</v>
      </c>
      <c r="E2767" s="14">
        <v>27.312655827508117</v>
      </c>
      <c r="F2767" s="14">
        <v>10.414382583746233</v>
      </c>
      <c r="G2767" s="14">
        <v>4.2984047463817756</v>
      </c>
      <c r="H2767" s="14">
        <v>1.7544169858243763</v>
      </c>
      <c r="I2767" s="14">
        <v>1.6070893260912036</v>
      </c>
      <c r="J2767" s="14">
        <v>1.0849850374834202</v>
      </c>
    </row>
    <row r="2768" spans="1:10" ht="15.75" x14ac:dyDescent="0.5">
      <c r="A2768" s="13" t="s">
        <v>380</v>
      </c>
      <c r="B2768" s="13" t="s">
        <v>414</v>
      </c>
      <c r="C2768" s="13" t="s">
        <v>400</v>
      </c>
      <c r="D2768" s="14">
        <v>0.68039077051095032</v>
      </c>
      <c r="E2768" s="14">
        <v>24.425068744732801</v>
      </c>
      <c r="F2768" s="14">
        <v>100.38029563516363</v>
      </c>
      <c r="G2768" s="14">
        <v>206.43601519088745</v>
      </c>
      <c r="H2768" s="14">
        <v>252.85250078318685</v>
      </c>
      <c r="I2768" s="14">
        <v>254.36933829443234</v>
      </c>
      <c r="J2768" s="14">
        <v>255.54387030716563</v>
      </c>
    </row>
    <row r="2769" spans="1:10" ht="15.75" x14ac:dyDescent="0.5">
      <c r="A2769" s="13" t="s">
        <v>380</v>
      </c>
      <c r="B2769" s="13" t="s">
        <v>415</v>
      </c>
      <c r="C2769" s="13" t="s">
        <v>400</v>
      </c>
      <c r="D2769" s="14">
        <v>440.53124483255539</v>
      </c>
      <c r="E2769" s="14">
        <v>873.81161417244311</v>
      </c>
      <c r="F2769" s="14">
        <v>1348.7458516504119</v>
      </c>
      <c r="G2769" s="14">
        <v>1413.9804360677313</v>
      </c>
      <c r="H2769" s="14">
        <v>1465.4280410035492</v>
      </c>
      <c r="I2769" s="14">
        <v>1497.1013519261471</v>
      </c>
      <c r="J2769" s="14">
        <v>1716.6452763193402</v>
      </c>
    </row>
    <row r="2770" spans="1:10" ht="15.75" x14ac:dyDescent="0.5">
      <c r="A2770" s="13" t="s">
        <v>380</v>
      </c>
      <c r="B2770" s="13" t="s">
        <v>416</v>
      </c>
      <c r="C2770" s="13" t="s">
        <v>400</v>
      </c>
      <c r="D2770" s="14" t="s">
        <v>250</v>
      </c>
      <c r="E2770" s="14">
        <v>70.934498682900752</v>
      </c>
      <c r="F2770" s="14">
        <v>100.19546122793696</v>
      </c>
      <c r="G2770" s="14">
        <v>127.69344447727372</v>
      </c>
      <c r="H2770" s="14">
        <v>145.88323771792346</v>
      </c>
      <c r="I2770" s="14">
        <v>165.77906731373224</v>
      </c>
      <c r="J2770" s="14">
        <v>186.2865730549081</v>
      </c>
    </row>
    <row r="2771" spans="1:10" ht="15.75" x14ac:dyDescent="0.5">
      <c r="A2771" s="13" t="s">
        <v>380</v>
      </c>
      <c r="B2771" s="13" t="s">
        <v>417</v>
      </c>
      <c r="C2771" s="13" t="s">
        <v>400</v>
      </c>
      <c r="D2771" s="14">
        <v>187.48709633408689</v>
      </c>
      <c r="E2771" s="14">
        <v>298.36286233429848</v>
      </c>
      <c r="F2771" s="14">
        <v>340.42599522684117</v>
      </c>
      <c r="G2771" s="14">
        <v>462.09222488872797</v>
      </c>
      <c r="H2771" s="14">
        <v>775.49438007778645</v>
      </c>
      <c r="I2771" s="14">
        <v>1249.8787433563334</v>
      </c>
      <c r="J2771" s="14">
        <v>1874.8434589693509</v>
      </c>
    </row>
    <row r="2772" spans="1:10" ht="15.75" x14ac:dyDescent="0.5">
      <c r="A2772" s="13" t="s">
        <v>380</v>
      </c>
      <c r="B2772" s="13" t="s">
        <v>418</v>
      </c>
      <c r="C2772" s="13" t="s">
        <v>400</v>
      </c>
      <c r="D2772" s="14">
        <v>3.1841751731019534</v>
      </c>
      <c r="E2772" s="14">
        <v>3.1841751731019539</v>
      </c>
      <c r="F2772" s="14">
        <v>3.184175173101953</v>
      </c>
      <c r="G2772" s="14">
        <v>3.1841751731019534</v>
      </c>
      <c r="H2772" s="14">
        <v>3.1841751731019534</v>
      </c>
      <c r="I2772" s="14">
        <v>3.1841751731019534</v>
      </c>
      <c r="J2772" s="14">
        <v>3.1841751731019539</v>
      </c>
    </row>
    <row r="2773" spans="1:10" ht="15.75" x14ac:dyDescent="0.5">
      <c r="A2773" s="13" t="s">
        <v>380</v>
      </c>
      <c r="B2773" s="13" t="s">
        <v>419</v>
      </c>
      <c r="C2773" s="13" t="s">
        <v>400</v>
      </c>
      <c r="D2773" s="14">
        <v>0.54465920264079504</v>
      </c>
      <c r="E2773" s="14">
        <v>9.0019533430453844</v>
      </c>
      <c r="F2773" s="14">
        <v>17.471870433145771</v>
      </c>
      <c r="G2773" s="14">
        <v>43.925711885491502</v>
      </c>
      <c r="H2773" s="14">
        <v>96.846877311476334</v>
      </c>
      <c r="I2773" s="14">
        <v>145.47810868429332</v>
      </c>
      <c r="J2773" s="14">
        <v>258.10550545977873</v>
      </c>
    </row>
    <row r="2774" spans="1:10" ht="15.75" x14ac:dyDescent="0.5">
      <c r="A2774" s="13" t="s">
        <v>380</v>
      </c>
      <c r="B2774" s="13" t="s">
        <v>420</v>
      </c>
      <c r="C2774" s="13" t="s">
        <v>400</v>
      </c>
      <c r="D2774" s="14">
        <v>-13.98725295780835</v>
      </c>
      <c r="E2774" s="14">
        <v>-13.603924170141209</v>
      </c>
      <c r="F2774" s="14">
        <v>-12.334832294826001</v>
      </c>
      <c r="G2774" s="14">
        <v>-11.35953787503091</v>
      </c>
      <c r="H2774" s="14">
        <v>-13.882193032138595</v>
      </c>
      <c r="I2774" s="14">
        <v>-15.067864321698819</v>
      </c>
      <c r="J2774" s="14">
        <v>-17.628837032306755</v>
      </c>
    </row>
    <row r="2775" spans="1:10" ht="15.75" x14ac:dyDescent="0.5">
      <c r="A2775" s="13" t="s">
        <v>381</v>
      </c>
      <c r="B2775" s="13" t="s">
        <v>399</v>
      </c>
      <c r="C2775" s="13" t="s">
        <v>400</v>
      </c>
      <c r="D2775" s="14">
        <v>7.2499064625597889</v>
      </c>
      <c r="E2775" s="14">
        <v>0.20898282707146765</v>
      </c>
      <c r="F2775" s="14">
        <v>0.51246000000000114</v>
      </c>
      <c r="G2775" s="14">
        <v>0.33375600000000066</v>
      </c>
      <c r="H2775" s="14">
        <v>0.31212726182928907</v>
      </c>
      <c r="I2775" s="14">
        <v>0.52414204379562146</v>
      </c>
      <c r="J2775" s="14">
        <v>0.27336245255474506</v>
      </c>
    </row>
    <row r="2776" spans="1:10" ht="15.75" x14ac:dyDescent="0.5">
      <c r="A2776" s="13" t="s">
        <v>381</v>
      </c>
      <c r="B2776" s="13" t="s">
        <v>401</v>
      </c>
      <c r="C2776" s="13" t="s">
        <v>400</v>
      </c>
      <c r="D2776" s="14" t="s">
        <v>250</v>
      </c>
      <c r="E2776" s="14" t="s">
        <v>250</v>
      </c>
      <c r="F2776" s="14">
        <v>83.362206693925913</v>
      </c>
      <c r="G2776" s="14">
        <v>83.362206693925899</v>
      </c>
      <c r="H2776" s="14">
        <v>16.21928458507649</v>
      </c>
      <c r="I2776" s="14">
        <v>14.862673138587832</v>
      </c>
      <c r="J2776" s="14" t="s">
        <v>250</v>
      </c>
    </row>
    <row r="2777" spans="1:10" ht="15.75" x14ac:dyDescent="0.5">
      <c r="A2777" s="13" t="s">
        <v>381</v>
      </c>
      <c r="B2777" s="13" t="s">
        <v>402</v>
      </c>
      <c r="C2777" s="13" t="s">
        <v>400</v>
      </c>
      <c r="D2777" s="14">
        <v>1072.9916742877465</v>
      </c>
      <c r="E2777" s="14">
        <v>276.98181298748051</v>
      </c>
      <c r="F2777" s="14">
        <v>150.44138398125466</v>
      </c>
      <c r="G2777" s="14">
        <v>143.79303189843154</v>
      </c>
      <c r="H2777" s="14">
        <v>136.74138334436793</v>
      </c>
      <c r="I2777" s="14">
        <v>108.5169255521037</v>
      </c>
      <c r="J2777" s="14">
        <v>75.950976285542353</v>
      </c>
    </row>
    <row r="2778" spans="1:10" ht="15.75" x14ac:dyDescent="0.5">
      <c r="A2778" s="13" t="s">
        <v>381</v>
      </c>
      <c r="B2778" s="13" t="s">
        <v>403</v>
      </c>
      <c r="C2778" s="13" t="s">
        <v>400</v>
      </c>
      <c r="D2778" s="14" t="s">
        <v>250</v>
      </c>
      <c r="E2778" s="14" t="s">
        <v>250</v>
      </c>
      <c r="F2778" s="14">
        <v>42.221131205255297</v>
      </c>
      <c r="G2778" s="14">
        <v>42.221131205255261</v>
      </c>
      <c r="H2778" s="14">
        <v>8.5329462122285449</v>
      </c>
      <c r="I2778" s="14">
        <v>8.5329462122285449</v>
      </c>
      <c r="J2778" s="14" t="s">
        <v>250</v>
      </c>
    </row>
    <row r="2779" spans="1:10" ht="15.75" x14ac:dyDescent="0.5">
      <c r="A2779" s="13" t="s">
        <v>381</v>
      </c>
      <c r="B2779" s="13" t="s">
        <v>404</v>
      </c>
      <c r="C2779" s="13" t="s">
        <v>400</v>
      </c>
      <c r="D2779" s="14" t="s">
        <v>250</v>
      </c>
      <c r="E2779" s="14" t="s">
        <v>250</v>
      </c>
      <c r="F2779" s="14" t="s">
        <v>250</v>
      </c>
      <c r="G2779" s="14" t="s">
        <v>250</v>
      </c>
      <c r="H2779" s="14" t="s">
        <v>250</v>
      </c>
      <c r="I2779" s="14">
        <v>0.33069896914528535</v>
      </c>
      <c r="J2779" s="14">
        <v>0.33069896914528535</v>
      </c>
    </row>
    <row r="2780" spans="1:10" ht="15.75" x14ac:dyDescent="0.5">
      <c r="A2780" s="13" t="s">
        <v>381</v>
      </c>
      <c r="B2780" s="13" t="s">
        <v>421</v>
      </c>
      <c r="C2780" s="13" t="s">
        <v>400</v>
      </c>
      <c r="D2780" s="14" t="s">
        <v>250</v>
      </c>
      <c r="E2780" s="14" t="s">
        <v>250</v>
      </c>
      <c r="F2780" s="14" t="s">
        <v>250</v>
      </c>
      <c r="G2780" s="14">
        <v>24.338175058081003</v>
      </c>
      <c r="H2780" s="14">
        <v>65.601844425148869</v>
      </c>
      <c r="I2780" s="14">
        <v>65.601844425148883</v>
      </c>
      <c r="J2780" s="14">
        <v>10.358185961865615</v>
      </c>
    </row>
    <row r="2781" spans="1:10" ht="15.75" x14ac:dyDescent="0.5">
      <c r="A2781" s="13" t="s">
        <v>381</v>
      </c>
      <c r="B2781" s="13" t="s">
        <v>405</v>
      </c>
      <c r="C2781" s="13" t="s">
        <v>400</v>
      </c>
      <c r="D2781" s="14">
        <v>1259.3891290889944</v>
      </c>
      <c r="E2781" s="14">
        <v>1472.7947717876643</v>
      </c>
      <c r="F2781" s="14">
        <v>1661.7430959210656</v>
      </c>
      <c r="G2781" s="14">
        <v>2299.3411634376976</v>
      </c>
      <c r="H2781" s="14">
        <v>3091.9223833939541</v>
      </c>
      <c r="I2781" s="14">
        <v>3403.1926125435384</v>
      </c>
      <c r="J2781" s="14">
        <v>3311.7896452917662</v>
      </c>
    </row>
    <row r="2782" spans="1:10" ht="15.75" x14ac:dyDescent="0.5">
      <c r="A2782" s="13" t="s">
        <v>381</v>
      </c>
      <c r="B2782" s="13" t="s">
        <v>406</v>
      </c>
      <c r="C2782" s="13" t="s">
        <v>400</v>
      </c>
      <c r="D2782" s="14">
        <v>23.479196814299335</v>
      </c>
      <c r="E2782" s="14">
        <v>29.346187491001672</v>
      </c>
      <c r="F2782" s="14">
        <v>42.716756295501881</v>
      </c>
      <c r="G2782" s="14">
        <v>43.110536846555284</v>
      </c>
      <c r="H2782" s="14">
        <v>42.836485454547528</v>
      </c>
      <c r="I2782" s="14">
        <v>43.937238269921153</v>
      </c>
      <c r="J2782" s="14">
        <v>41.526868161761001</v>
      </c>
    </row>
    <row r="2783" spans="1:10" ht="15.75" x14ac:dyDescent="0.5">
      <c r="A2783" s="13" t="s">
        <v>381</v>
      </c>
      <c r="B2783" s="13" t="s">
        <v>407</v>
      </c>
      <c r="C2783" s="13" t="s">
        <v>400</v>
      </c>
      <c r="D2783" s="14" t="s">
        <v>250</v>
      </c>
      <c r="E2783" s="14">
        <v>96.596476249979105</v>
      </c>
      <c r="F2783" s="14">
        <v>44.126853154141443</v>
      </c>
      <c r="G2783" s="14">
        <v>72.412047573333993</v>
      </c>
      <c r="H2783" s="14">
        <v>30.214411840124029</v>
      </c>
      <c r="I2783" s="14">
        <v>20.423399003199115</v>
      </c>
      <c r="J2783" s="14">
        <v>3.6056496621236134</v>
      </c>
    </row>
    <row r="2784" spans="1:10" ht="15.75" x14ac:dyDescent="0.5">
      <c r="A2784" s="13" t="s">
        <v>381</v>
      </c>
      <c r="B2784" s="13" t="s">
        <v>408</v>
      </c>
      <c r="C2784" s="13" t="s">
        <v>400</v>
      </c>
      <c r="D2784" s="14">
        <v>46.892290321001241</v>
      </c>
      <c r="E2784" s="14">
        <v>30.068696449148579</v>
      </c>
      <c r="F2784" s="14">
        <v>22.740048603101005</v>
      </c>
      <c r="G2784" s="14">
        <v>26.238610116044146</v>
      </c>
      <c r="H2784" s="14">
        <v>28.116704289509073</v>
      </c>
      <c r="I2784" s="14">
        <v>28.340099153140017</v>
      </c>
      <c r="J2784" s="14">
        <v>26.565292361422024</v>
      </c>
    </row>
    <row r="2785" spans="1:10" ht="15.75" x14ac:dyDescent="0.5">
      <c r="A2785" s="13" t="s">
        <v>381</v>
      </c>
      <c r="B2785" s="13" t="s">
        <v>409</v>
      </c>
      <c r="C2785" s="13" t="s">
        <v>400</v>
      </c>
      <c r="D2785" s="14">
        <v>18.365704270000034</v>
      </c>
      <c r="E2785" s="14">
        <v>18.36570427000003</v>
      </c>
      <c r="F2785" s="14">
        <v>18.36570427000003</v>
      </c>
      <c r="G2785" s="14">
        <v>18.36570427000003</v>
      </c>
      <c r="H2785" s="14">
        <v>18.36570427000003</v>
      </c>
      <c r="I2785" s="14">
        <v>18.365704270000037</v>
      </c>
      <c r="J2785" s="14">
        <v>18.365704270000034</v>
      </c>
    </row>
    <row r="2786" spans="1:10" ht="15.75" x14ac:dyDescent="0.5">
      <c r="A2786" s="13" t="s">
        <v>381</v>
      </c>
      <c r="B2786" s="13" t="s">
        <v>410</v>
      </c>
      <c r="C2786" s="13" t="s">
        <v>400</v>
      </c>
      <c r="D2786" s="14">
        <v>245.79356253202215</v>
      </c>
      <c r="E2786" s="14">
        <v>244.58991945386359</v>
      </c>
      <c r="F2786" s="14">
        <v>245.78349608294647</v>
      </c>
      <c r="G2786" s="14">
        <v>246.14973280241298</v>
      </c>
      <c r="H2786" s="14">
        <v>246.16997594139107</v>
      </c>
      <c r="I2786" s="14">
        <v>246.1699759413909</v>
      </c>
      <c r="J2786" s="14">
        <v>246.16997594139096</v>
      </c>
    </row>
    <row r="2787" spans="1:10" ht="15.75" x14ac:dyDescent="0.5">
      <c r="A2787" s="13" t="s">
        <v>381</v>
      </c>
      <c r="B2787" s="13" t="s">
        <v>411</v>
      </c>
      <c r="C2787" s="13" t="s">
        <v>400</v>
      </c>
      <c r="D2787" s="14">
        <v>7.139400000000018</v>
      </c>
      <c r="E2787" s="14">
        <v>3.5593489051094971</v>
      </c>
      <c r="F2787" s="14" t="s">
        <v>250</v>
      </c>
      <c r="G2787" s="14" t="s">
        <v>250</v>
      </c>
      <c r="H2787" s="14" t="s">
        <v>250</v>
      </c>
      <c r="I2787" s="14" t="s">
        <v>250</v>
      </c>
      <c r="J2787" s="14" t="s">
        <v>250</v>
      </c>
    </row>
    <row r="2788" spans="1:10" ht="15.75" x14ac:dyDescent="0.5">
      <c r="A2788" s="13" t="s">
        <v>381</v>
      </c>
      <c r="B2788" s="13" t="s">
        <v>412</v>
      </c>
      <c r="C2788" s="13" t="s">
        <v>400</v>
      </c>
      <c r="D2788" s="14">
        <v>760.72545968400186</v>
      </c>
      <c r="E2788" s="14">
        <v>742.93950822031798</v>
      </c>
      <c r="F2788" s="14">
        <v>522.60617787899139</v>
      </c>
      <c r="G2788" s="14">
        <v>568.64882446015952</v>
      </c>
      <c r="H2788" s="14">
        <v>591.14023367645746</v>
      </c>
      <c r="I2788" s="14">
        <v>591.1402336764578</v>
      </c>
      <c r="J2788" s="14">
        <v>549.3908249501967</v>
      </c>
    </row>
    <row r="2789" spans="1:10" ht="15.75" x14ac:dyDescent="0.5">
      <c r="A2789" s="13" t="s">
        <v>381</v>
      </c>
      <c r="B2789" s="13" t="s">
        <v>413</v>
      </c>
      <c r="C2789" s="13" t="s">
        <v>400</v>
      </c>
      <c r="D2789" s="14">
        <v>23.702927619886136</v>
      </c>
      <c r="E2789" s="14">
        <v>27.111149954502068</v>
      </c>
      <c r="F2789" s="14">
        <v>10.415986077805194</v>
      </c>
      <c r="G2789" s="14">
        <v>4.2474461798166701</v>
      </c>
      <c r="H2789" s="14">
        <v>1.7612967561127468</v>
      </c>
      <c r="I2789" s="14">
        <v>1.6290683818455802</v>
      </c>
      <c r="J2789" s="14">
        <v>1.0751344563522864</v>
      </c>
    </row>
    <row r="2790" spans="1:10" ht="15.75" x14ac:dyDescent="0.5">
      <c r="A2790" s="13" t="s">
        <v>381</v>
      </c>
      <c r="B2790" s="13" t="s">
        <v>414</v>
      </c>
      <c r="C2790" s="13" t="s">
        <v>400</v>
      </c>
      <c r="D2790" s="14">
        <v>0.68039077051095032</v>
      </c>
      <c r="E2790" s="14">
        <v>24.425204522761938</v>
      </c>
      <c r="F2790" s="14">
        <v>100.38067496374542</v>
      </c>
      <c r="G2790" s="14">
        <v>206.43601519088742</v>
      </c>
      <c r="H2790" s="14">
        <v>252.85250078318685</v>
      </c>
      <c r="I2790" s="14">
        <v>254.36933829443234</v>
      </c>
      <c r="J2790" s="14">
        <v>255.54387030716569</v>
      </c>
    </row>
    <row r="2791" spans="1:10" ht="15.75" x14ac:dyDescent="0.5">
      <c r="A2791" s="13" t="s">
        <v>381</v>
      </c>
      <c r="B2791" s="13" t="s">
        <v>415</v>
      </c>
      <c r="C2791" s="13" t="s">
        <v>400</v>
      </c>
      <c r="D2791" s="14">
        <v>440.5312448325555</v>
      </c>
      <c r="E2791" s="14">
        <v>873.81161417244323</v>
      </c>
      <c r="F2791" s="14">
        <v>1350.0251632427332</v>
      </c>
      <c r="G2791" s="14">
        <v>1420.7355371428723</v>
      </c>
      <c r="H2791" s="14">
        <v>1482.215645016357</v>
      </c>
      <c r="I2791" s="14">
        <v>1523.1436358876426</v>
      </c>
      <c r="J2791" s="14">
        <v>1758.9869579217293</v>
      </c>
    </row>
    <row r="2792" spans="1:10" ht="15.75" x14ac:dyDescent="0.5">
      <c r="A2792" s="13" t="s">
        <v>381</v>
      </c>
      <c r="B2792" s="13" t="s">
        <v>416</v>
      </c>
      <c r="C2792" s="13" t="s">
        <v>400</v>
      </c>
      <c r="D2792" s="14" t="s">
        <v>250</v>
      </c>
      <c r="E2792" s="14">
        <v>70.934498682900752</v>
      </c>
      <c r="F2792" s="14">
        <v>100.19546122793697</v>
      </c>
      <c r="G2792" s="14">
        <v>127.69344447727373</v>
      </c>
      <c r="H2792" s="14">
        <v>145.88323771792344</v>
      </c>
      <c r="I2792" s="14">
        <v>165.77906731373224</v>
      </c>
      <c r="J2792" s="14">
        <v>186.28657305490799</v>
      </c>
    </row>
    <row r="2793" spans="1:10" ht="15.75" x14ac:dyDescent="0.5">
      <c r="A2793" s="13" t="s">
        <v>381</v>
      </c>
      <c r="B2793" s="13" t="s">
        <v>417</v>
      </c>
      <c r="C2793" s="13" t="s">
        <v>400</v>
      </c>
      <c r="D2793" s="14">
        <v>187.48709633408691</v>
      </c>
      <c r="E2793" s="14">
        <v>298.36286233429848</v>
      </c>
      <c r="F2793" s="14">
        <v>340.4259663365774</v>
      </c>
      <c r="G2793" s="14">
        <v>457.106230913974</v>
      </c>
      <c r="H2793" s="14">
        <v>794.34087546646902</v>
      </c>
      <c r="I2793" s="14">
        <v>1357.0242820140504</v>
      </c>
      <c r="J2793" s="14">
        <v>1951.8235538435827</v>
      </c>
    </row>
    <row r="2794" spans="1:10" ht="15.75" x14ac:dyDescent="0.5">
      <c r="A2794" s="13" t="s">
        <v>381</v>
      </c>
      <c r="B2794" s="13" t="s">
        <v>418</v>
      </c>
      <c r="C2794" s="13" t="s">
        <v>400</v>
      </c>
      <c r="D2794" s="14">
        <v>3.184175173101953</v>
      </c>
      <c r="E2794" s="14">
        <v>3.1841751731019534</v>
      </c>
      <c r="F2794" s="14">
        <v>3.1841751731019534</v>
      </c>
      <c r="G2794" s="14">
        <v>3.1841751731019534</v>
      </c>
      <c r="H2794" s="14">
        <v>3.1841751731019539</v>
      </c>
      <c r="I2794" s="14">
        <v>3.1841751731019534</v>
      </c>
      <c r="J2794" s="14">
        <v>3.1841751731019534</v>
      </c>
    </row>
    <row r="2795" spans="1:10" ht="15.75" x14ac:dyDescent="0.5">
      <c r="A2795" s="13" t="s">
        <v>381</v>
      </c>
      <c r="B2795" s="13" t="s">
        <v>419</v>
      </c>
      <c r="C2795" s="13" t="s">
        <v>400</v>
      </c>
      <c r="D2795" s="14">
        <v>0.54465920264079493</v>
      </c>
      <c r="E2795" s="14">
        <v>8.9254842002277339</v>
      </c>
      <c r="F2795" s="14">
        <v>17.598061275872436</v>
      </c>
      <c r="G2795" s="14">
        <v>43.302810029665402</v>
      </c>
      <c r="H2795" s="14">
        <v>101.33414899667063</v>
      </c>
      <c r="I2795" s="14">
        <v>187.60127166836742</v>
      </c>
      <c r="J2795" s="14">
        <v>322.77112361459666</v>
      </c>
    </row>
    <row r="2796" spans="1:10" ht="15.75" x14ac:dyDescent="0.5">
      <c r="A2796" s="13" t="s">
        <v>381</v>
      </c>
      <c r="B2796" s="13" t="s">
        <v>420</v>
      </c>
      <c r="C2796" s="13" t="s">
        <v>400</v>
      </c>
      <c r="D2796" s="14">
        <v>-13.987252957808359</v>
      </c>
      <c r="E2796" s="14">
        <v>-13.612513373447372</v>
      </c>
      <c r="F2796" s="14">
        <v>-12.405961028443821</v>
      </c>
      <c r="G2796" s="14">
        <v>-11.448261954471104</v>
      </c>
      <c r="H2796" s="14">
        <v>-13.732392655812001</v>
      </c>
      <c r="I2796" s="14">
        <v>-15.381398617423848</v>
      </c>
      <c r="J2796" s="14">
        <v>-17.60722881479429</v>
      </c>
    </row>
    <row r="2797" spans="1:10" ht="15.75" x14ac:dyDescent="0.5">
      <c r="A2797" s="13" t="s">
        <v>382</v>
      </c>
      <c r="B2797" s="13" t="s">
        <v>399</v>
      </c>
      <c r="C2797" s="13" t="s">
        <v>400</v>
      </c>
      <c r="D2797" s="14">
        <v>7.2499064625597889</v>
      </c>
      <c r="E2797" s="14">
        <v>0.2089828270714702</v>
      </c>
      <c r="F2797" s="14">
        <v>0.51246000000000103</v>
      </c>
      <c r="G2797" s="14">
        <v>0.33375600000000061</v>
      </c>
      <c r="H2797" s="14">
        <v>0.31212726182928902</v>
      </c>
      <c r="I2797" s="14">
        <v>0.52414204379562146</v>
      </c>
      <c r="J2797" s="14">
        <v>0.27336245255474501</v>
      </c>
    </row>
    <row r="2798" spans="1:10" ht="15.75" x14ac:dyDescent="0.5">
      <c r="A2798" s="13" t="s">
        <v>382</v>
      </c>
      <c r="B2798" s="13" t="s">
        <v>401</v>
      </c>
      <c r="C2798" s="13" t="s">
        <v>400</v>
      </c>
      <c r="D2798" s="14" t="s">
        <v>250</v>
      </c>
      <c r="E2798" s="14" t="s">
        <v>250</v>
      </c>
      <c r="F2798" s="14">
        <v>83.362206693925643</v>
      </c>
      <c r="G2798" s="14">
        <v>83.362206693925685</v>
      </c>
      <c r="H2798" s="14">
        <v>16.21928458507643</v>
      </c>
      <c r="I2798" s="14">
        <v>14.862673138587779</v>
      </c>
      <c r="J2798" s="14" t="s">
        <v>250</v>
      </c>
    </row>
    <row r="2799" spans="1:10" ht="15.75" x14ac:dyDescent="0.5">
      <c r="A2799" s="13" t="s">
        <v>382</v>
      </c>
      <c r="B2799" s="13" t="s">
        <v>402</v>
      </c>
      <c r="C2799" s="13" t="s">
        <v>400</v>
      </c>
      <c r="D2799" s="14">
        <v>1072.9916742877465</v>
      </c>
      <c r="E2799" s="14">
        <v>276.98181298748045</v>
      </c>
      <c r="F2799" s="14">
        <v>150.44138398125511</v>
      </c>
      <c r="G2799" s="14">
        <v>143.79303189843205</v>
      </c>
      <c r="H2799" s="14">
        <v>136.74138334436813</v>
      </c>
      <c r="I2799" s="14">
        <v>108.51692555210404</v>
      </c>
      <c r="J2799" s="14">
        <v>75.950976285542779</v>
      </c>
    </row>
    <row r="2800" spans="1:10" ht="15.75" x14ac:dyDescent="0.5">
      <c r="A2800" s="13" t="s">
        <v>382</v>
      </c>
      <c r="B2800" s="13" t="s">
        <v>403</v>
      </c>
      <c r="C2800" s="13" t="s">
        <v>400</v>
      </c>
      <c r="D2800" s="14" t="s">
        <v>250</v>
      </c>
      <c r="E2800" s="14" t="s">
        <v>250</v>
      </c>
      <c r="F2800" s="14">
        <v>42.221131205255062</v>
      </c>
      <c r="G2800" s="14">
        <v>42.221131205255084</v>
      </c>
      <c r="H2800" s="14">
        <v>8.5329462122285022</v>
      </c>
      <c r="I2800" s="14">
        <v>8.5329462122285005</v>
      </c>
      <c r="J2800" s="14" t="s">
        <v>250</v>
      </c>
    </row>
    <row r="2801" spans="1:10" ht="15.75" x14ac:dyDescent="0.5">
      <c r="A2801" s="13" t="s">
        <v>382</v>
      </c>
      <c r="B2801" s="13" t="s">
        <v>404</v>
      </c>
      <c r="C2801" s="13" t="s">
        <v>400</v>
      </c>
      <c r="D2801" s="14" t="s">
        <v>250</v>
      </c>
      <c r="E2801" s="14" t="s">
        <v>250</v>
      </c>
      <c r="F2801" s="14" t="s">
        <v>250</v>
      </c>
      <c r="G2801" s="14" t="s">
        <v>250</v>
      </c>
      <c r="H2801" s="14" t="s">
        <v>250</v>
      </c>
      <c r="I2801" s="14">
        <v>0.33069896914528524</v>
      </c>
      <c r="J2801" s="14">
        <v>0.33069896914528529</v>
      </c>
    </row>
    <row r="2802" spans="1:10" ht="15.75" x14ac:dyDescent="0.5">
      <c r="A2802" s="13" t="s">
        <v>382</v>
      </c>
      <c r="B2802" s="13" t="s">
        <v>421</v>
      </c>
      <c r="C2802" s="13" t="s">
        <v>400</v>
      </c>
      <c r="D2802" s="14" t="s">
        <v>250</v>
      </c>
      <c r="E2802" s="14" t="s">
        <v>250</v>
      </c>
      <c r="F2802" s="14" t="s">
        <v>250</v>
      </c>
      <c r="G2802" s="14">
        <v>24.338175058081212</v>
      </c>
      <c r="H2802" s="14">
        <v>65.601844425149451</v>
      </c>
      <c r="I2802" s="14">
        <v>65.601844425149466</v>
      </c>
      <c r="J2802" s="14">
        <v>10.358185961865725</v>
      </c>
    </row>
    <row r="2803" spans="1:10" ht="15.75" x14ac:dyDescent="0.5">
      <c r="A2803" s="13" t="s">
        <v>382</v>
      </c>
      <c r="B2803" s="13" t="s">
        <v>405</v>
      </c>
      <c r="C2803" s="13" t="s">
        <v>400</v>
      </c>
      <c r="D2803" s="14">
        <v>1259.3891290889935</v>
      </c>
      <c r="E2803" s="14">
        <v>1472.7947717876632</v>
      </c>
      <c r="F2803" s="14">
        <v>1661.7430959210633</v>
      </c>
      <c r="G2803" s="14">
        <v>2299.3411634376962</v>
      </c>
      <c r="H2803" s="14">
        <v>3091.9223833939577</v>
      </c>
      <c r="I2803" s="14">
        <v>3403.1926125435402</v>
      </c>
      <c r="J2803" s="14">
        <v>3311.7896452917757</v>
      </c>
    </row>
    <row r="2804" spans="1:10" ht="15.75" x14ac:dyDescent="0.5">
      <c r="A2804" s="13" t="s">
        <v>382</v>
      </c>
      <c r="B2804" s="13" t="s">
        <v>406</v>
      </c>
      <c r="C2804" s="13" t="s">
        <v>400</v>
      </c>
      <c r="D2804" s="14">
        <v>23.479196814299325</v>
      </c>
      <c r="E2804" s="14">
        <v>29.34618749100164</v>
      </c>
      <c r="F2804" s="14">
        <v>42.716756295501796</v>
      </c>
      <c r="G2804" s="14">
        <v>43.110536846555306</v>
      </c>
      <c r="H2804" s="14">
        <v>42.836485454547542</v>
      </c>
      <c r="I2804" s="14">
        <v>43.937238269921146</v>
      </c>
      <c r="J2804" s="14">
        <v>41.526868161760959</v>
      </c>
    </row>
    <row r="2805" spans="1:10" ht="15.75" x14ac:dyDescent="0.5">
      <c r="A2805" s="13" t="s">
        <v>382</v>
      </c>
      <c r="B2805" s="13" t="s">
        <v>407</v>
      </c>
      <c r="C2805" s="13" t="s">
        <v>400</v>
      </c>
      <c r="D2805" s="14" t="s">
        <v>250</v>
      </c>
      <c r="E2805" s="14">
        <v>96.596476249979148</v>
      </c>
      <c r="F2805" s="14">
        <v>44.126853154141479</v>
      </c>
      <c r="G2805" s="14">
        <v>72.41204757333405</v>
      </c>
      <c r="H2805" s="14">
        <v>30.214411840123649</v>
      </c>
      <c r="I2805" s="14">
        <v>20.423399003199126</v>
      </c>
      <c r="J2805" s="14">
        <v>3.6056496621234961</v>
      </c>
    </row>
    <row r="2806" spans="1:10" ht="15.75" x14ac:dyDescent="0.5">
      <c r="A2806" s="13" t="s">
        <v>382</v>
      </c>
      <c r="B2806" s="13" t="s">
        <v>408</v>
      </c>
      <c r="C2806" s="13" t="s">
        <v>400</v>
      </c>
      <c r="D2806" s="14">
        <v>46.892290321001234</v>
      </c>
      <c r="E2806" s="14">
        <v>30.06869644914859</v>
      </c>
      <c r="F2806" s="14">
        <v>22.740048603100806</v>
      </c>
      <c r="G2806" s="14">
        <v>26.238610116044228</v>
      </c>
      <c r="H2806" s="14">
        <v>28.116704289508981</v>
      </c>
      <c r="I2806" s="14">
        <v>28.340099153138958</v>
      </c>
      <c r="J2806" s="14">
        <v>26.565292361422017</v>
      </c>
    </row>
    <row r="2807" spans="1:10" ht="15.75" x14ac:dyDescent="0.5">
      <c r="A2807" s="13" t="s">
        <v>382</v>
      </c>
      <c r="B2807" s="13" t="s">
        <v>409</v>
      </c>
      <c r="C2807" s="13" t="s">
        <v>400</v>
      </c>
      <c r="D2807" s="14">
        <v>18.365704270000034</v>
      </c>
      <c r="E2807" s="14">
        <v>18.365704270000034</v>
      </c>
      <c r="F2807" s="14">
        <v>18.365704270000034</v>
      </c>
      <c r="G2807" s="14">
        <v>18.365704270000034</v>
      </c>
      <c r="H2807" s="14">
        <v>18.36570427000003</v>
      </c>
      <c r="I2807" s="14">
        <v>18.365704270000037</v>
      </c>
      <c r="J2807" s="14">
        <v>18.365704270000034</v>
      </c>
    </row>
    <row r="2808" spans="1:10" ht="15.75" x14ac:dyDescent="0.5">
      <c r="A2808" s="13" t="s">
        <v>382</v>
      </c>
      <c r="B2808" s="13" t="s">
        <v>410</v>
      </c>
      <c r="C2808" s="13" t="s">
        <v>400</v>
      </c>
      <c r="D2808" s="14">
        <v>245.79356253202218</v>
      </c>
      <c r="E2808" s="14">
        <v>244.58991945386364</v>
      </c>
      <c r="F2808" s="14">
        <v>245.7834960829465</v>
      </c>
      <c r="G2808" s="14">
        <v>246.14973280241301</v>
      </c>
      <c r="H2808" s="14">
        <v>246.16997594139104</v>
      </c>
      <c r="I2808" s="14">
        <v>246.16997594139099</v>
      </c>
      <c r="J2808" s="14">
        <v>246.16997594139102</v>
      </c>
    </row>
    <row r="2809" spans="1:10" ht="15.75" x14ac:dyDescent="0.5">
      <c r="A2809" s="13" t="s">
        <v>382</v>
      </c>
      <c r="B2809" s="13" t="s">
        <v>411</v>
      </c>
      <c r="C2809" s="13" t="s">
        <v>400</v>
      </c>
      <c r="D2809" s="14">
        <v>7.1394000000000153</v>
      </c>
      <c r="E2809" s="14">
        <v>3.5593489051094975</v>
      </c>
      <c r="F2809" s="14" t="s">
        <v>250</v>
      </c>
      <c r="G2809" s="14" t="s">
        <v>250</v>
      </c>
      <c r="H2809" s="14" t="s">
        <v>250</v>
      </c>
      <c r="I2809" s="14" t="s">
        <v>250</v>
      </c>
      <c r="J2809" s="14" t="s">
        <v>250</v>
      </c>
    </row>
    <row r="2810" spans="1:10" ht="15.75" x14ac:dyDescent="0.5">
      <c r="A2810" s="13" t="s">
        <v>382</v>
      </c>
      <c r="B2810" s="13" t="s">
        <v>412</v>
      </c>
      <c r="C2810" s="13" t="s">
        <v>400</v>
      </c>
      <c r="D2810" s="14">
        <v>760.72545968400175</v>
      </c>
      <c r="E2810" s="14">
        <v>742.9395082203182</v>
      </c>
      <c r="F2810" s="14">
        <v>522.60617787899264</v>
      </c>
      <c r="G2810" s="14">
        <v>568.64882446016122</v>
      </c>
      <c r="H2810" s="14">
        <v>591.14023367645927</v>
      </c>
      <c r="I2810" s="14">
        <v>591.14023367645939</v>
      </c>
      <c r="J2810" s="14">
        <v>549.39082495019625</v>
      </c>
    </row>
    <row r="2811" spans="1:10" ht="15.75" x14ac:dyDescent="0.5">
      <c r="A2811" s="13" t="s">
        <v>382</v>
      </c>
      <c r="B2811" s="13" t="s">
        <v>413</v>
      </c>
      <c r="C2811" s="13" t="s">
        <v>400</v>
      </c>
      <c r="D2811" s="14">
        <v>23.702927619886136</v>
      </c>
      <c r="E2811" s="14">
        <v>27.111149954502046</v>
      </c>
      <c r="F2811" s="14">
        <v>10.415986077805247</v>
      </c>
      <c r="G2811" s="14">
        <v>4.2474461798166683</v>
      </c>
      <c r="H2811" s="14">
        <v>1.761296756112712</v>
      </c>
      <c r="I2811" s="14">
        <v>1.629068381845574</v>
      </c>
      <c r="J2811" s="14">
        <v>1.0751344563522487</v>
      </c>
    </row>
    <row r="2812" spans="1:10" ht="15.75" x14ac:dyDescent="0.5">
      <c r="A2812" s="13" t="s">
        <v>382</v>
      </c>
      <c r="B2812" s="13" t="s">
        <v>414</v>
      </c>
      <c r="C2812" s="13" t="s">
        <v>400</v>
      </c>
      <c r="D2812" s="14">
        <v>0.6803907705109502</v>
      </c>
      <c r="E2812" s="14">
        <v>24.425204522761938</v>
      </c>
      <c r="F2812" s="14">
        <v>100.38067496374543</v>
      </c>
      <c r="G2812" s="14">
        <v>206.4360151908875</v>
      </c>
      <c r="H2812" s="14">
        <v>252.85250078318691</v>
      </c>
      <c r="I2812" s="14">
        <v>254.36933829443228</v>
      </c>
      <c r="J2812" s="14">
        <v>255.54387030716566</v>
      </c>
    </row>
    <row r="2813" spans="1:10" ht="15.75" x14ac:dyDescent="0.5">
      <c r="A2813" s="13" t="s">
        <v>382</v>
      </c>
      <c r="B2813" s="13" t="s">
        <v>415</v>
      </c>
      <c r="C2813" s="13" t="s">
        <v>400</v>
      </c>
      <c r="D2813" s="14">
        <v>440.53124483255561</v>
      </c>
      <c r="E2813" s="14">
        <v>873.81161417244334</v>
      </c>
      <c r="F2813" s="14">
        <v>1350.0251632427328</v>
      </c>
      <c r="G2813" s="14">
        <v>1420.7355371428721</v>
      </c>
      <c r="H2813" s="14">
        <v>1482.2156450163582</v>
      </c>
      <c r="I2813" s="14">
        <v>1523.1436358876376</v>
      </c>
      <c r="J2813" s="14">
        <v>1758.9869579217291</v>
      </c>
    </row>
    <row r="2814" spans="1:10" ht="15.75" x14ac:dyDescent="0.5">
      <c r="A2814" s="13" t="s">
        <v>382</v>
      </c>
      <c r="B2814" s="13" t="s">
        <v>416</v>
      </c>
      <c r="C2814" s="13" t="s">
        <v>400</v>
      </c>
      <c r="D2814" s="14" t="s">
        <v>250</v>
      </c>
      <c r="E2814" s="14">
        <v>70.934498682900738</v>
      </c>
      <c r="F2814" s="14">
        <v>100.195461227937</v>
      </c>
      <c r="G2814" s="14">
        <v>127.69344447727369</v>
      </c>
      <c r="H2814" s="14">
        <v>145.88323771792341</v>
      </c>
      <c r="I2814" s="14">
        <v>165.77906731373224</v>
      </c>
      <c r="J2814" s="14">
        <v>186.28657305490796</v>
      </c>
    </row>
    <row r="2815" spans="1:10" ht="15.75" x14ac:dyDescent="0.5">
      <c r="A2815" s="13" t="s">
        <v>382</v>
      </c>
      <c r="B2815" s="13" t="s">
        <v>417</v>
      </c>
      <c r="C2815" s="13" t="s">
        <v>400</v>
      </c>
      <c r="D2815" s="14">
        <v>187.48709633408694</v>
      </c>
      <c r="E2815" s="14">
        <v>298.36286233429848</v>
      </c>
      <c r="F2815" s="14">
        <v>340.4259663365774</v>
      </c>
      <c r="G2815" s="14">
        <v>457.10623091397417</v>
      </c>
      <c r="H2815" s="14">
        <v>794.34087546646879</v>
      </c>
      <c r="I2815" s="14">
        <v>1357.0242820140581</v>
      </c>
      <c r="J2815" s="14">
        <v>1951.8235538435811</v>
      </c>
    </row>
    <row r="2816" spans="1:10" ht="15.75" x14ac:dyDescent="0.5">
      <c r="A2816" s="13" t="s">
        <v>382</v>
      </c>
      <c r="B2816" s="13" t="s">
        <v>418</v>
      </c>
      <c r="C2816" s="13" t="s">
        <v>400</v>
      </c>
      <c r="D2816" s="14">
        <v>3.184175173101953</v>
      </c>
      <c r="E2816" s="14">
        <v>3.1841751731019534</v>
      </c>
      <c r="F2816" s="14">
        <v>3.1841751731019534</v>
      </c>
      <c r="G2816" s="14">
        <v>3.184175173101953</v>
      </c>
      <c r="H2816" s="14">
        <v>3.1841751731019534</v>
      </c>
      <c r="I2816" s="14">
        <v>3.184175173101953</v>
      </c>
      <c r="J2816" s="14">
        <v>3.1841751731019539</v>
      </c>
    </row>
    <row r="2817" spans="1:10" ht="15.75" x14ac:dyDescent="0.5">
      <c r="A2817" s="13" t="s">
        <v>382</v>
      </c>
      <c r="B2817" s="13" t="s">
        <v>419</v>
      </c>
      <c r="C2817" s="13" t="s">
        <v>400</v>
      </c>
      <c r="D2817" s="14">
        <v>0.54465920264079493</v>
      </c>
      <c r="E2817" s="14">
        <v>8.9254842002277321</v>
      </c>
      <c r="F2817" s="14">
        <v>17.59807882577249</v>
      </c>
      <c r="G2817" s="14">
        <v>43.302817271878816</v>
      </c>
      <c r="H2817" s="14">
        <v>101.33647227537224</v>
      </c>
      <c r="I2817" s="14">
        <v>187.60127166836864</v>
      </c>
      <c r="J2817" s="14">
        <v>322.77112361460331</v>
      </c>
    </row>
    <row r="2818" spans="1:10" ht="15.75" x14ac:dyDescent="0.5">
      <c r="A2818" s="13" t="s">
        <v>382</v>
      </c>
      <c r="B2818" s="13" t="s">
        <v>420</v>
      </c>
      <c r="C2818" s="13" t="s">
        <v>400</v>
      </c>
      <c r="D2818" s="14">
        <v>-13.987252957808382</v>
      </c>
      <c r="E2818" s="14">
        <v>-13.61251337344742</v>
      </c>
      <c r="F2818" s="14">
        <v>-12.40600169822862</v>
      </c>
      <c r="G2818" s="14">
        <v>-11.446801639114817</v>
      </c>
      <c r="H2818" s="14">
        <v>-13.732570259627032</v>
      </c>
      <c r="I2818" s="14">
        <v>-15.381398617423866</v>
      </c>
      <c r="J2818" s="14">
        <v>-17.607228814794048</v>
      </c>
    </row>
    <row r="2819" spans="1:10" ht="15.75" x14ac:dyDescent="0.5">
      <c r="A2819" s="13" t="s">
        <v>383</v>
      </c>
      <c r="B2819" s="13" t="s">
        <v>399</v>
      </c>
      <c r="C2819" s="13" t="s">
        <v>400</v>
      </c>
      <c r="D2819" s="14">
        <v>7.2499064625597898</v>
      </c>
      <c r="E2819" s="14">
        <v>0.20898282707148436</v>
      </c>
      <c r="F2819" s="14">
        <v>0.51246000000000103</v>
      </c>
      <c r="G2819" s="14">
        <v>0.33375600000000066</v>
      </c>
      <c r="H2819" s="14">
        <v>0.31395337226277437</v>
      </c>
      <c r="I2819" s="14">
        <v>0.31656183941605898</v>
      </c>
      <c r="J2819" s="14">
        <v>9.0504000000000154E-2</v>
      </c>
    </row>
    <row r="2820" spans="1:10" ht="15.75" x14ac:dyDescent="0.5">
      <c r="A2820" s="13" t="s">
        <v>383</v>
      </c>
      <c r="B2820" s="13" t="s">
        <v>401</v>
      </c>
      <c r="C2820" s="13" t="s">
        <v>400</v>
      </c>
      <c r="D2820" s="14" t="s">
        <v>250</v>
      </c>
      <c r="E2820" s="14" t="s">
        <v>250</v>
      </c>
      <c r="F2820" s="14">
        <v>83.366849654541355</v>
      </c>
      <c r="G2820" s="14">
        <v>83.36684965454134</v>
      </c>
      <c r="H2820" s="14">
        <v>16.164850046681387</v>
      </c>
      <c r="I2820" s="14">
        <v>15.01686200155795</v>
      </c>
      <c r="J2820" s="14" t="s">
        <v>250</v>
      </c>
    </row>
    <row r="2821" spans="1:10" ht="15.75" x14ac:dyDescent="0.5">
      <c r="A2821" s="13" t="s">
        <v>383</v>
      </c>
      <c r="B2821" s="13" t="s">
        <v>402</v>
      </c>
      <c r="C2821" s="13" t="s">
        <v>400</v>
      </c>
      <c r="D2821" s="14">
        <v>1072.9916742877463</v>
      </c>
      <c r="E2821" s="14">
        <v>277.01901386563668</v>
      </c>
      <c r="F2821" s="14">
        <v>150.4766019598232</v>
      </c>
      <c r="G2821" s="14">
        <v>143.95953879600486</v>
      </c>
      <c r="H2821" s="14">
        <v>136.64297599120781</v>
      </c>
      <c r="I2821" s="14">
        <v>109.31666072080587</v>
      </c>
      <c r="J2821" s="14">
        <v>75.803948704245897</v>
      </c>
    </row>
    <row r="2822" spans="1:10" ht="15.75" x14ac:dyDescent="0.5">
      <c r="A2822" s="13" t="s">
        <v>383</v>
      </c>
      <c r="B2822" s="13" t="s">
        <v>403</v>
      </c>
      <c r="C2822" s="13" t="s">
        <v>400</v>
      </c>
      <c r="D2822" s="14" t="s">
        <v>250</v>
      </c>
      <c r="E2822" s="14" t="s">
        <v>250</v>
      </c>
      <c r="F2822" s="14">
        <v>42.408757371396746</v>
      </c>
      <c r="G2822" s="14">
        <v>42.408757371396753</v>
      </c>
      <c r="H2822" s="14">
        <v>8.5717119490346327</v>
      </c>
      <c r="I2822" s="14">
        <v>8.5717119490346327</v>
      </c>
      <c r="J2822" s="14" t="s">
        <v>250</v>
      </c>
    </row>
    <row r="2823" spans="1:10" ht="15.75" x14ac:dyDescent="0.5">
      <c r="A2823" s="13" t="s">
        <v>383</v>
      </c>
      <c r="B2823" s="13" t="s">
        <v>404</v>
      </c>
      <c r="C2823" s="13" t="s">
        <v>400</v>
      </c>
      <c r="D2823" s="14" t="s">
        <v>250</v>
      </c>
      <c r="E2823" s="14" t="s">
        <v>250</v>
      </c>
      <c r="F2823" s="14" t="s">
        <v>250</v>
      </c>
      <c r="G2823" s="14" t="s">
        <v>250</v>
      </c>
      <c r="H2823" s="14" t="s">
        <v>250</v>
      </c>
      <c r="I2823" s="14">
        <v>0.33069896914528535</v>
      </c>
      <c r="J2823" s="14">
        <v>0.33069896914528535</v>
      </c>
    </row>
    <row r="2824" spans="1:10" ht="15.75" x14ac:dyDescent="0.5">
      <c r="A2824" s="13" t="s">
        <v>383</v>
      </c>
      <c r="B2824" s="13" t="s">
        <v>421</v>
      </c>
      <c r="C2824" s="13" t="s">
        <v>400</v>
      </c>
      <c r="D2824" s="14" t="s">
        <v>250</v>
      </c>
      <c r="E2824" s="14" t="s">
        <v>250</v>
      </c>
      <c r="F2824" s="14" t="s">
        <v>250</v>
      </c>
      <c r="G2824" s="14">
        <v>24.093155363705527</v>
      </c>
      <c r="H2824" s="14">
        <v>64.94141101824151</v>
      </c>
      <c r="I2824" s="14">
        <v>64.94141101824151</v>
      </c>
      <c r="J2824" s="14">
        <v>10.253907002880238</v>
      </c>
    </row>
    <row r="2825" spans="1:10" ht="15.75" x14ac:dyDescent="0.5">
      <c r="A2825" s="13" t="s">
        <v>383</v>
      </c>
      <c r="B2825" s="13" t="s">
        <v>405</v>
      </c>
      <c r="C2825" s="13" t="s">
        <v>400</v>
      </c>
      <c r="D2825" s="14">
        <v>1259.3891290889944</v>
      </c>
      <c r="E2825" s="14">
        <v>1471.6430191257796</v>
      </c>
      <c r="F2825" s="14">
        <v>1660.8397991332702</v>
      </c>
      <c r="G2825" s="14">
        <v>2300.1155108105777</v>
      </c>
      <c r="H2825" s="14">
        <v>3075.9238322067067</v>
      </c>
      <c r="I2825" s="14">
        <v>3403.9930686810185</v>
      </c>
      <c r="J2825" s="14">
        <v>3310.6386410926798</v>
      </c>
    </row>
    <row r="2826" spans="1:10" ht="15.75" x14ac:dyDescent="0.5">
      <c r="A2826" s="13" t="s">
        <v>383</v>
      </c>
      <c r="B2826" s="13" t="s">
        <v>406</v>
      </c>
      <c r="C2826" s="13" t="s">
        <v>400</v>
      </c>
      <c r="D2826" s="14">
        <v>23.479196814299332</v>
      </c>
      <c r="E2826" s="14">
        <v>29.393777193434591</v>
      </c>
      <c r="F2826" s="14">
        <v>42.716913872778704</v>
      </c>
      <c r="G2826" s="14">
        <v>43.11838715557905</v>
      </c>
      <c r="H2826" s="14">
        <v>42.784908038953112</v>
      </c>
      <c r="I2826" s="14">
        <v>44.675490723641275</v>
      </c>
      <c r="J2826" s="14">
        <v>42.321331927497567</v>
      </c>
    </row>
    <row r="2827" spans="1:10" ht="15.75" x14ac:dyDescent="0.5">
      <c r="A2827" s="13" t="s">
        <v>383</v>
      </c>
      <c r="B2827" s="13" t="s">
        <v>407</v>
      </c>
      <c r="C2827" s="13" t="s">
        <v>400</v>
      </c>
      <c r="D2827" s="14" t="s">
        <v>250</v>
      </c>
      <c r="E2827" s="14">
        <v>97.126787580714705</v>
      </c>
      <c r="F2827" s="14">
        <v>45.078731316757946</v>
      </c>
      <c r="G2827" s="14">
        <v>73.235850347998181</v>
      </c>
      <c r="H2827" s="14">
        <v>31.696170378542163</v>
      </c>
      <c r="I2827" s="14">
        <v>12.267995242171224</v>
      </c>
      <c r="J2827" s="14">
        <v>3.5539600656118577</v>
      </c>
    </row>
    <row r="2828" spans="1:10" ht="15.75" x14ac:dyDescent="0.5">
      <c r="A2828" s="13" t="s">
        <v>383</v>
      </c>
      <c r="B2828" s="13" t="s">
        <v>408</v>
      </c>
      <c r="C2828" s="13" t="s">
        <v>400</v>
      </c>
      <c r="D2828" s="14">
        <v>46.892290321001227</v>
      </c>
      <c r="E2828" s="14">
        <v>30.072052631609605</v>
      </c>
      <c r="F2828" s="14">
        <v>22.777110620648596</v>
      </c>
      <c r="G2828" s="14">
        <v>26.59088412727391</v>
      </c>
      <c r="H2828" s="14">
        <v>28.191618325709619</v>
      </c>
      <c r="I2828" s="14">
        <v>27.221447371521123</v>
      </c>
      <c r="J2828" s="14">
        <v>26.081013301255549</v>
      </c>
    </row>
    <row r="2829" spans="1:10" ht="15.75" x14ac:dyDescent="0.5">
      <c r="A2829" s="13" t="s">
        <v>383</v>
      </c>
      <c r="B2829" s="13" t="s">
        <v>409</v>
      </c>
      <c r="C2829" s="13" t="s">
        <v>400</v>
      </c>
      <c r="D2829" s="14">
        <v>18.36570427000003</v>
      </c>
      <c r="E2829" s="14">
        <v>18.365704270000037</v>
      </c>
      <c r="F2829" s="14">
        <v>18.365704270000034</v>
      </c>
      <c r="G2829" s="14">
        <v>18.365704270000034</v>
      </c>
      <c r="H2829" s="14">
        <v>18.365704270000034</v>
      </c>
      <c r="I2829" s="14">
        <v>18.36570427000003</v>
      </c>
      <c r="J2829" s="14">
        <v>18.365704270000034</v>
      </c>
    </row>
    <row r="2830" spans="1:10" ht="15.75" x14ac:dyDescent="0.5">
      <c r="A2830" s="13" t="s">
        <v>383</v>
      </c>
      <c r="B2830" s="13" t="s">
        <v>410</v>
      </c>
      <c r="C2830" s="13" t="s">
        <v>400</v>
      </c>
      <c r="D2830" s="14">
        <v>245.79356253202212</v>
      </c>
      <c r="E2830" s="14">
        <v>244.59030994755</v>
      </c>
      <c r="F2830" s="14">
        <v>245.75683321310149</v>
      </c>
      <c r="G2830" s="14">
        <v>246.14973280241625</v>
      </c>
      <c r="H2830" s="14">
        <v>246.16997594139104</v>
      </c>
      <c r="I2830" s="14">
        <v>246.16997594138903</v>
      </c>
      <c r="J2830" s="14">
        <v>246.16997594139212</v>
      </c>
    </row>
    <row r="2831" spans="1:10" ht="15.75" x14ac:dyDescent="0.5">
      <c r="A2831" s="13" t="s">
        <v>383</v>
      </c>
      <c r="B2831" s="13" t="s">
        <v>411</v>
      </c>
      <c r="C2831" s="13" t="s">
        <v>400</v>
      </c>
      <c r="D2831" s="14">
        <v>7.1394000000000162</v>
      </c>
      <c r="E2831" s="14">
        <v>3.5593489051094975</v>
      </c>
      <c r="F2831" s="14" t="s">
        <v>250</v>
      </c>
      <c r="G2831" s="14" t="s">
        <v>250</v>
      </c>
      <c r="H2831" s="14" t="s">
        <v>250</v>
      </c>
      <c r="I2831" s="14" t="s">
        <v>250</v>
      </c>
      <c r="J2831" s="14" t="s">
        <v>250</v>
      </c>
    </row>
    <row r="2832" spans="1:10" ht="15.75" x14ac:dyDescent="0.5">
      <c r="A2832" s="13" t="s">
        <v>383</v>
      </c>
      <c r="B2832" s="13" t="s">
        <v>412</v>
      </c>
      <c r="C2832" s="13" t="s">
        <v>400</v>
      </c>
      <c r="D2832" s="14">
        <v>760.72545968400175</v>
      </c>
      <c r="E2832" s="14">
        <v>743.43706076499416</v>
      </c>
      <c r="F2832" s="14">
        <v>523.83611501609232</v>
      </c>
      <c r="G2832" s="14">
        <v>570.18494637871481</v>
      </c>
      <c r="H2832" s="14">
        <v>634.40539175441495</v>
      </c>
      <c r="I2832" s="14">
        <v>705.04675425065011</v>
      </c>
      <c r="J2832" s="14">
        <v>651.64953667750433</v>
      </c>
    </row>
    <row r="2833" spans="1:10" ht="15.75" x14ac:dyDescent="0.5">
      <c r="A2833" s="13" t="s">
        <v>383</v>
      </c>
      <c r="B2833" s="13" t="s">
        <v>413</v>
      </c>
      <c r="C2833" s="13" t="s">
        <v>400</v>
      </c>
      <c r="D2833" s="14">
        <v>23.702927619886143</v>
      </c>
      <c r="E2833" s="14">
        <v>27.251639861845984</v>
      </c>
      <c r="F2833" s="14">
        <v>10.526600156268945</v>
      </c>
      <c r="G2833" s="14">
        <v>4.2954565722482743</v>
      </c>
      <c r="H2833" s="14">
        <v>1.7549299984451501</v>
      </c>
      <c r="I2833" s="14">
        <v>1.6262911072285489</v>
      </c>
      <c r="J2833" s="14">
        <v>1.0806573948891776</v>
      </c>
    </row>
    <row r="2834" spans="1:10" ht="15.75" x14ac:dyDescent="0.5">
      <c r="A2834" s="13" t="s">
        <v>383</v>
      </c>
      <c r="B2834" s="13" t="s">
        <v>414</v>
      </c>
      <c r="C2834" s="13" t="s">
        <v>400</v>
      </c>
      <c r="D2834" s="14">
        <v>0.6803907705109502</v>
      </c>
      <c r="E2834" s="14">
        <v>24.425068699307122</v>
      </c>
      <c r="F2834" s="14">
        <v>100.38029543340335</v>
      </c>
      <c r="G2834" s="14">
        <v>206.43601498488545</v>
      </c>
      <c r="H2834" s="14">
        <v>252.85250057533881</v>
      </c>
      <c r="I2834" s="14">
        <v>254.36933808520962</v>
      </c>
      <c r="J2834" s="14">
        <v>255.5438700968825</v>
      </c>
    </row>
    <row r="2835" spans="1:10" ht="15.75" x14ac:dyDescent="0.5">
      <c r="A2835" s="13" t="s">
        <v>383</v>
      </c>
      <c r="B2835" s="13" t="s">
        <v>415</v>
      </c>
      <c r="C2835" s="13" t="s">
        <v>400</v>
      </c>
      <c r="D2835" s="14">
        <v>440.5312448325555</v>
      </c>
      <c r="E2835" s="14">
        <v>873.81161417244334</v>
      </c>
      <c r="F2835" s="14">
        <v>1348.4972474900371</v>
      </c>
      <c r="G2835" s="14">
        <v>1413.7242732305988</v>
      </c>
      <c r="H2835" s="14">
        <v>1465.9050635072956</v>
      </c>
      <c r="I2835" s="14">
        <v>1496.6959953437358</v>
      </c>
      <c r="J2835" s="14">
        <v>1719.3734621118176</v>
      </c>
    </row>
    <row r="2836" spans="1:10" ht="15.75" x14ac:dyDescent="0.5">
      <c r="A2836" s="13" t="s">
        <v>383</v>
      </c>
      <c r="B2836" s="13" t="s">
        <v>416</v>
      </c>
      <c r="C2836" s="13" t="s">
        <v>400</v>
      </c>
      <c r="D2836" s="14" t="s">
        <v>250</v>
      </c>
      <c r="E2836" s="14">
        <v>70.934498682900738</v>
      </c>
      <c r="F2836" s="14">
        <v>100.19546122793703</v>
      </c>
      <c r="G2836" s="14">
        <v>127.69344447727372</v>
      </c>
      <c r="H2836" s="14">
        <v>145.88323771792344</v>
      </c>
      <c r="I2836" s="14">
        <v>165.77906731373221</v>
      </c>
      <c r="J2836" s="14">
        <v>186.28657305490802</v>
      </c>
    </row>
    <row r="2837" spans="1:10" ht="15.75" x14ac:dyDescent="0.5">
      <c r="A2837" s="13" t="s">
        <v>383</v>
      </c>
      <c r="B2837" s="13" t="s">
        <v>417</v>
      </c>
      <c r="C2837" s="13" t="s">
        <v>400</v>
      </c>
      <c r="D2837" s="14">
        <v>187.48709633408691</v>
      </c>
      <c r="E2837" s="14">
        <v>298.36286233429854</v>
      </c>
      <c r="F2837" s="14">
        <v>340.42596633657757</v>
      </c>
      <c r="G2837" s="14">
        <v>461.58353405255741</v>
      </c>
      <c r="H2837" s="14">
        <v>775.75094572223634</v>
      </c>
      <c r="I2837" s="14">
        <v>1258.0781414472817</v>
      </c>
      <c r="J2837" s="14">
        <v>1873.2978933790662</v>
      </c>
    </row>
    <row r="2838" spans="1:10" ht="15.75" x14ac:dyDescent="0.5">
      <c r="A2838" s="13" t="s">
        <v>383</v>
      </c>
      <c r="B2838" s="13" t="s">
        <v>418</v>
      </c>
      <c r="C2838" s="13" t="s">
        <v>400</v>
      </c>
      <c r="D2838" s="14">
        <v>3.184175173101953</v>
      </c>
      <c r="E2838" s="14">
        <v>3.184175173101953</v>
      </c>
      <c r="F2838" s="14">
        <v>3.1841751731019534</v>
      </c>
      <c r="G2838" s="14">
        <v>3.184175173101953</v>
      </c>
      <c r="H2838" s="14">
        <v>3.1841751731019539</v>
      </c>
      <c r="I2838" s="14">
        <v>3.1841751731019534</v>
      </c>
      <c r="J2838" s="14">
        <v>3.184175173101953</v>
      </c>
    </row>
    <row r="2839" spans="1:10" ht="15.75" x14ac:dyDescent="0.5">
      <c r="A2839" s="13" t="s">
        <v>383</v>
      </c>
      <c r="B2839" s="13" t="s">
        <v>419</v>
      </c>
      <c r="C2839" s="13" t="s">
        <v>400</v>
      </c>
      <c r="D2839" s="14">
        <v>0.54465920264079493</v>
      </c>
      <c r="E2839" s="14">
        <v>9.0198336290252588</v>
      </c>
      <c r="F2839" s="14">
        <v>17.491693045215161</v>
      </c>
      <c r="G2839" s="14">
        <v>43.463791001762139</v>
      </c>
      <c r="H2839" s="14">
        <v>95.444385073008831</v>
      </c>
      <c r="I2839" s="14">
        <v>143.14148056823933</v>
      </c>
      <c r="J2839" s="14">
        <v>257.49949630786278</v>
      </c>
    </row>
    <row r="2840" spans="1:10" ht="15.75" x14ac:dyDescent="0.5">
      <c r="A2840" s="13" t="s">
        <v>383</v>
      </c>
      <c r="B2840" s="13" t="s">
        <v>420</v>
      </c>
      <c r="C2840" s="13" t="s">
        <v>400</v>
      </c>
      <c r="D2840" s="14">
        <v>-13.987252957808446</v>
      </c>
      <c r="E2840" s="14">
        <v>-13.613103909537717</v>
      </c>
      <c r="F2840" s="14">
        <v>-12.413508782307101</v>
      </c>
      <c r="G2840" s="14">
        <v>-11.446135943798804</v>
      </c>
      <c r="H2840" s="14">
        <v>-13.613932979538365</v>
      </c>
      <c r="I2840" s="14">
        <v>-14.778514938531469</v>
      </c>
      <c r="J2840" s="14">
        <v>-17.317291824542909</v>
      </c>
    </row>
    <row r="2841" spans="1:10" ht="15.75" x14ac:dyDescent="0.5">
      <c r="A2841" s="13" t="s">
        <v>384</v>
      </c>
      <c r="B2841" s="13" t="s">
        <v>399</v>
      </c>
      <c r="C2841" s="13" t="s">
        <v>400</v>
      </c>
      <c r="D2841" s="14">
        <v>7.2499064625597889</v>
      </c>
      <c r="E2841" s="14">
        <v>0.20898282707146942</v>
      </c>
      <c r="F2841" s="14">
        <v>0.51246000000000103</v>
      </c>
      <c r="G2841" s="14">
        <v>0.33375600000000061</v>
      </c>
      <c r="H2841" s="14">
        <v>0.58177241444614014</v>
      </c>
      <c r="I2841" s="14">
        <v>0.51626944679769371</v>
      </c>
      <c r="J2841" s="14">
        <v>0.28913380862262039</v>
      </c>
    </row>
    <row r="2842" spans="1:10" ht="15.75" x14ac:dyDescent="0.5">
      <c r="A2842" s="13" t="s">
        <v>384</v>
      </c>
      <c r="B2842" s="13" t="s">
        <v>401</v>
      </c>
      <c r="C2842" s="13" t="s">
        <v>400</v>
      </c>
      <c r="D2842" s="14" t="s">
        <v>250</v>
      </c>
      <c r="E2842" s="14" t="s">
        <v>250</v>
      </c>
      <c r="F2842" s="14">
        <v>81.212729680809304</v>
      </c>
      <c r="G2842" s="14">
        <v>81.212729680809304</v>
      </c>
      <c r="H2842" s="14">
        <v>6.7499649403262065</v>
      </c>
      <c r="I2842" s="14">
        <v>6.3313134759520597</v>
      </c>
      <c r="J2842" s="14" t="s">
        <v>250</v>
      </c>
    </row>
    <row r="2843" spans="1:10" ht="15.75" x14ac:dyDescent="0.5">
      <c r="A2843" s="13" t="s">
        <v>384</v>
      </c>
      <c r="B2843" s="13" t="s">
        <v>402</v>
      </c>
      <c r="C2843" s="13" t="s">
        <v>400</v>
      </c>
      <c r="D2843" s="14">
        <v>1072.9916742877463</v>
      </c>
      <c r="E2843" s="14">
        <v>275.94065213568973</v>
      </c>
      <c r="F2843" s="14">
        <v>153.5478132420692</v>
      </c>
      <c r="G2843" s="14">
        <v>138.96898965422193</v>
      </c>
      <c r="H2843" s="14">
        <v>116.62014101695745</v>
      </c>
      <c r="I2843" s="14">
        <v>109.17677483226474</v>
      </c>
      <c r="J2843" s="14">
        <v>75.175900797502734</v>
      </c>
    </row>
    <row r="2844" spans="1:10" ht="15.75" x14ac:dyDescent="0.5">
      <c r="A2844" s="13" t="s">
        <v>384</v>
      </c>
      <c r="B2844" s="13" t="s">
        <v>403</v>
      </c>
      <c r="C2844" s="13" t="s">
        <v>400</v>
      </c>
      <c r="D2844" s="14" t="s">
        <v>250</v>
      </c>
      <c r="E2844" s="14" t="s">
        <v>250</v>
      </c>
      <c r="F2844" s="14">
        <v>31.03020303552826</v>
      </c>
      <c r="G2844" s="14">
        <v>31.030203035528242</v>
      </c>
      <c r="H2844" s="14">
        <v>6.2873149134862452</v>
      </c>
      <c r="I2844" s="14">
        <v>6.2873149134862398</v>
      </c>
      <c r="J2844" s="14" t="s">
        <v>250</v>
      </c>
    </row>
    <row r="2845" spans="1:10" ht="15.75" x14ac:dyDescent="0.5">
      <c r="A2845" s="13" t="s">
        <v>384</v>
      </c>
      <c r="B2845" s="13" t="s">
        <v>404</v>
      </c>
      <c r="C2845" s="13" t="s">
        <v>400</v>
      </c>
      <c r="D2845" s="14" t="s">
        <v>250</v>
      </c>
      <c r="E2845" s="14" t="s">
        <v>250</v>
      </c>
      <c r="F2845" s="14" t="s">
        <v>250</v>
      </c>
      <c r="G2845" s="14" t="s">
        <v>250</v>
      </c>
      <c r="H2845" s="14" t="s">
        <v>250</v>
      </c>
      <c r="I2845" s="14">
        <v>0.33069896914528535</v>
      </c>
      <c r="J2845" s="14">
        <v>0.3306989691452854</v>
      </c>
    </row>
    <row r="2846" spans="1:10" ht="15.75" x14ac:dyDescent="0.5">
      <c r="A2846" s="13" t="s">
        <v>384</v>
      </c>
      <c r="B2846" s="13" t="s">
        <v>421</v>
      </c>
      <c r="C2846" s="13" t="s">
        <v>400</v>
      </c>
      <c r="D2846" s="14" t="s">
        <v>250</v>
      </c>
      <c r="E2846" s="14" t="s">
        <v>250</v>
      </c>
      <c r="F2846" s="14" t="s">
        <v>250</v>
      </c>
      <c r="G2846" s="14">
        <v>801.50720641334715</v>
      </c>
      <c r="H2846" s="14">
        <v>2145.6612918614028</v>
      </c>
      <c r="I2846" s="14">
        <v>2153.2985057133947</v>
      </c>
      <c r="J2846" s="14">
        <v>344.47578321820748</v>
      </c>
    </row>
    <row r="2847" spans="1:10" ht="15.75" x14ac:dyDescent="0.5">
      <c r="A2847" s="13" t="s">
        <v>384</v>
      </c>
      <c r="B2847" s="13" t="s">
        <v>405</v>
      </c>
      <c r="C2847" s="13" t="s">
        <v>400</v>
      </c>
      <c r="D2847" s="14">
        <v>1259.3891290889962</v>
      </c>
      <c r="E2847" s="14">
        <v>1471.7582646278424</v>
      </c>
      <c r="F2847" s="14">
        <v>1637.7085834724949</v>
      </c>
      <c r="G2847" s="14">
        <v>1553.1326004240248</v>
      </c>
      <c r="H2847" s="14">
        <v>1167.9497877627875</v>
      </c>
      <c r="I2847" s="14">
        <v>1408.1552823187435</v>
      </c>
      <c r="J2847" s="14">
        <v>2990.748799372996</v>
      </c>
    </row>
    <row r="2848" spans="1:10" ht="15.75" x14ac:dyDescent="0.5">
      <c r="A2848" s="13" t="s">
        <v>384</v>
      </c>
      <c r="B2848" s="13" t="s">
        <v>406</v>
      </c>
      <c r="C2848" s="13" t="s">
        <v>400</v>
      </c>
      <c r="D2848" s="14">
        <v>23.479196814299332</v>
      </c>
      <c r="E2848" s="14">
        <v>28.363873971286974</v>
      </c>
      <c r="F2848" s="14">
        <v>42.922906703028673</v>
      </c>
      <c r="G2848" s="14">
        <v>42.960031816119333</v>
      </c>
      <c r="H2848" s="14">
        <v>42.36616773715383</v>
      </c>
      <c r="I2848" s="14">
        <v>42.833836615905057</v>
      </c>
      <c r="J2848" s="14">
        <v>40.51579687733841</v>
      </c>
    </row>
    <row r="2849" spans="1:10" ht="15.75" x14ac:dyDescent="0.5">
      <c r="A2849" s="13" t="s">
        <v>384</v>
      </c>
      <c r="B2849" s="13" t="s">
        <v>407</v>
      </c>
      <c r="C2849" s="13" t="s">
        <v>400</v>
      </c>
      <c r="D2849" s="14" t="s">
        <v>250</v>
      </c>
      <c r="E2849" s="14">
        <v>98.058166901594845</v>
      </c>
      <c r="F2849" s="14">
        <v>61.750079827554352</v>
      </c>
      <c r="G2849" s="14">
        <v>74.280176863896983</v>
      </c>
      <c r="H2849" s="14">
        <v>30.853178786084221</v>
      </c>
      <c r="I2849" s="14">
        <v>22.919016516666233</v>
      </c>
      <c r="J2849" s="14">
        <v>1.9751006858612459</v>
      </c>
    </row>
    <row r="2850" spans="1:10" ht="15.75" x14ac:dyDescent="0.5">
      <c r="A2850" s="13" t="s">
        <v>384</v>
      </c>
      <c r="B2850" s="13" t="s">
        <v>408</v>
      </c>
      <c r="C2850" s="13" t="s">
        <v>400</v>
      </c>
      <c r="D2850" s="14">
        <v>46.892290321001241</v>
      </c>
      <c r="E2850" s="14">
        <v>30.038005663700858</v>
      </c>
      <c r="F2850" s="14">
        <v>22.74491947709086</v>
      </c>
      <c r="G2850" s="14">
        <v>26.360529747101172</v>
      </c>
      <c r="H2850" s="14">
        <v>25.818920964739327</v>
      </c>
      <c r="I2850" s="14">
        <v>27.626689333947461</v>
      </c>
      <c r="J2850" s="14">
        <v>28.459405024423319</v>
      </c>
    </row>
    <row r="2851" spans="1:10" ht="15.75" x14ac:dyDescent="0.5">
      <c r="A2851" s="13" t="s">
        <v>384</v>
      </c>
      <c r="B2851" s="13" t="s">
        <v>409</v>
      </c>
      <c r="C2851" s="13" t="s">
        <v>400</v>
      </c>
      <c r="D2851" s="14">
        <v>18.365704270000034</v>
      </c>
      <c r="E2851" s="14">
        <v>18.365704270000034</v>
      </c>
      <c r="F2851" s="14">
        <v>18.365704270000034</v>
      </c>
      <c r="G2851" s="14">
        <v>18.365704270000037</v>
      </c>
      <c r="H2851" s="14">
        <v>18.36570427000003</v>
      </c>
      <c r="I2851" s="14">
        <v>18.365704270000034</v>
      </c>
      <c r="J2851" s="14">
        <v>18.365704270000037</v>
      </c>
    </row>
    <row r="2852" spans="1:10" ht="15.75" x14ac:dyDescent="0.5">
      <c r="A2852" s="13" t="s">
        <v>384</v>
      </c>
      <c r="B2852" s="13" t="s">
        <v>410</v>
      </c>
      <c r="C2852" s="13" t="s">
        <v>400</v>
      </c>
      <c r="D2852" s="14">
        <v>245.79356253202215</v>
      </c>
      <c r="E2852" s="14">
        <v>244.59673076389069</v>
      </c>
      <c r="F2852" s="14">
        <v>245.73093186804084</v>
      </c>
      <c r="G2852" s="14">
        <v>246.1497328024129</v>
      </c>
      <c r="H2852" s="14">
        <v>246.16997594139096</v>
      </c>
      <c r="I2852" s="14">
        <v>246.16997594139093</v>
      </c>
      <c r="J2852" s="14">
        <v>246.16997594139079</v>
      </c>
    </row>
    <row r="2853" spans="1:10" ht="15.75" x14ac:dyDescent="0.5">
      <c r="A2853" s="13" t="s">
        <v>384</v>
      </c>
      <c r="B2853" s="13" t="s">
        <v>411</v>
      </c>
      <c r="C2853" s="13" t="s">
        <v>400</v>
      </c>
      <c r="D2853" s="14">
        <v>7.1394000000000171</v>
      </c>
      <c r="E2853" s="14">
        <v>3.5593489051094975</v>
      </c>
      <c r="F2853" s="14" t="s">
        <v>250</v>
      </c>
      <c r="G2853" s="14" t="s">
        <v>250</v>
      </c>
      <c r="H2853" s="14" t="s">
        <v>250</v>
      </c>
      <c r="I2853" s="14" t="s">
        <v>250</v>
      </c>
      <c r="J2853" s="14" t="s">
        <v>250</v>
      </c>
    </row>
    <row r="2854" spans="1:10" ht="15.75" x14ac:dyDescent="0.5">
      <c r="A2854" s="13" t="s">
        <v>384</v>
      </c>
      <c r="B2854" s="13" t="s">
        <v>412</v>
      </c>
      <c r="C2854" s="13" t="s">
        <v>400</v>
      </c>
      <c r="D2854" s="14">
        <v>760.72545968400152</v>
      </c>
      <c r="E2854" s="14">
        <v>743.32935896013839</v>
      </c>
      <c r="F2854" s="14">
        <v>536.75957680086049</v>
      </c>
      <c r="G2854" s="14">
        <v>556.68687873916622</v>
      </c>
      <c r="H2854" s="14">
        <v>558.44408102585601</v>
      </c>
      <c r="I2854" s="14">
        <v>558.44408102585612</v>
      </c>
      <c r="J2854" s="14">
        <v>447.46953670472197</v>
      </c>
    </row>
    <row r="2855" spans="1:10" ht="15.75" x14ac:dyDescent="0.5">
      <c r="A2855" s="13" t="s">
        <v>384</v>
      </c>
      <c r="B2855" s="13" t="s">
        <v>413</v>
      </c>
      <c r="C2855" s="13" t="s">
        <v>400</v>
      </c>
      <c r="D2855" s="14">
        <v>23.702927619886136</v>
      </c>
      <c r="E2855" s="14">
        <v>27.249396402773151</v>
      </c>
      <c r="F2855" s="14">
        <v>10.583950892269492</v>
      </c>
      <c r="G2855" s="14">
        <v>4.2802031489112009</v>
      </c>
      <c r="H2855" s="14">
        <v>2.0453632177517216</v>
      </c>
      <c r="I2855" s="14">
        <v>1.5605342105474644</v>
      </c>
      <c r="J2855" s="14">
        <v>1.0901300999751342</v>
      </c>
    </row>
    <row r="2856" spans="1:10" ht="15.75" x14ac:dyDescent="0.5">
      <c r="A2856" s="13" t="s">
        <v>384</v>
      </c>
      <c r="B2856" s="13" t="s">
        <v>414</v>
      </c>
      <c r="C2856" s="13" t="s">
        <v>400</v>
      </c>
      <c r="D2856" s="14">
        <v>0.6803907705109502</v>
      </c>
      <c r="E2856" s="14">
        <v>24.424350919111909</v>
      </c>
      <c r="F2856" s="14">
        <v>100.42278652114452</v>
      </c>
      <c r="G2856" s="14">
        <v>206.55847340167577</v>
      </c>
      <c r="H2856" s="14">
        <v>252.97605633161234</v>
      </c>
      <c r="I2856" s="14">
        <v>254.49371100918336</v>
      </c>
      <c r="J2856" s="14">
        <v>255.66887340736778</v>
      </c>
    </row>
    <row r="2857" spans="1:10" ht="15.75" x14ac:dyDescent="0.5">
      <c r="A2857" s="13" t="s">
        <v>384</v>
      </c>
      <c r="B2857" s="13" t="s">
        <v>415</v>
      </c>
      <c r="C2857" s="13" t="s">
        <v>400</v>
      </c>
      <c r="D2857" s="14">
        <v>440.53124483255567</v>
      </c>
      <c r="E2857" s="14">
        <v>873.81161417244311</v>
      </c>
      <c r="F2857" s="14">
        <v>1349.3989590179435</v>
      </c>
      <c r="G2857" s="14">
        <v>1422.0701010581852</v>
      </c>
      <c r="H2857" s="14">
        <v>1488.3751408986586</v>
      </c>
      <c r="I2857" s="14">
        <v>1542.7672943875505</v>
      </c>
      <c r="J2857" s="14">
        <v>1836.6852522028321</v>
      </c>
    </row>
    <row r="2858" spans="1:10" ht="15.75" x14ac:dyDescent="0.5">
      <c r="A2858" s="13" t="s">
        <v>384</v>
      </c>
      <c r="B2858" s="13" t="s">
        <v>416</v>
      </c>
      <c r="C2858" s="13" t="s">
        <v>400</v>
      </c>
      <c r="D2858" s="14" t="s">
        <v>250</v>
      </c>
      <c r="E2858" s="14">
        <v>70.934498682900724</v>
      </c>
      <c r="F2858" s="14">
        <v>100.195461227937</v>
      </c>
      <c r="G2858" s="14">
        <v>127.69344447727376</v>
      </c>
      <c r="H2858" s="14">
        <v>145.88323771792344</v>
      </c>
      <c r="I2858" s="14">
        <v>165.7790673137323</v>
      </c>
      <c r="J2858" s="14">
        <v>186.28657305490796</v>
      </c>
    </row>
    <row r="2859" spans="1:10" ht="15.75" x14ac:dyDescent="0.5">
      <c r="A2859" s="13" t="s">
        <v>384</v>
      </c>
      <c r="B2859" s="13" t="s">
        <v>417</v>
      </c>
      <c r="C2859" s="13" t="s">
        <v>400</v>
      </c>
      <c r="D2859" s="14">
        <v>187.48709633408691</v>
      </c>
      <c r="E2859" s="14">
        <v>298.41785742393517</v>
      </c>
      <c r="F2859" s="14">
        <v>340.38223092310807</v>
      </c>
      <c r="G2859" s="14">
        <v>454.74577304404482</v>
      </c>
      <c r="H2859" s="14">
        <v>714.08737789043914</v>
      </c>
      <c r="I2859" s="14">
        <v>1287.2208284969597</v>
      </c>
      <c r="J2859" s="14">
        <v>1968.4367260284894</v>
      </c>
    </row>
    <row r="2860" spans="1:10" ht="15.75" x14ac:dyDescent="0.5">
      <c r="A2860" s="13" t="s">
        <v>384</v>
      </c>
      <c r="B2860" s="13" t="s">
        <v>418</v>
      </c>
      <c r="C2860" s="13" t="s">
        <v>400</v>
      </c>
      <c r="D2860" s="14">
        <v>3.1841751731019539</v>
      </c>
      <c r="E2860" s="14">
        <v>3.1841751731019534</v>
      </c>
      <c r="F2860" s="14">
        <v>3.1841751731019539</v>
      </c>
      <c r="G2860" s="14">
        <v>3.1841751731019525</v>
      </c>
      <c r="H2860" s="14">
        <v>3.1841751731019534</v>
      </c>
      <c r="I2860" s="14">
        <v>3.1841751731019534</v>
      </c>
      <c r="J2860" s="14">
        <v>3.1841751731019534</v>
      </c>
    </row>
    <row r="2861" spans="1:10" ht="15.75" x14ac:dyDescent="0.5">
      <c r="A2861" s="13" t="s">
        <v>384</v>
      </c>
      <c r="B2861" s="13" t="s">
        <v>419</v>
      </c>
      <c r="C2861" s="13" t="s">
        <v>400</v>
      </c>
      <c r="D2861" s="14">
        <v>0.54465920264079504</v>
      </c>
      <c r="E2861" s="14">
        <v>8.7449934551822093</v>
      </c>
      <c r="F2861" s="14">
        <v>17.619542461513927</v>
      </c>
      <c r="G2861" s="14">
        <v>42.268331413080979</v>
      </c>
      <c r="H2861" s="14">
        <v>103.42832203659611</v>
      </c>
      <c r="I2861" s="14">
        <v>193.26193153096295</v>
      </c>
      <c r="J2861" s="14">
        <v>307.58286038828874</v>
      </c>
    </row>
    <row r="2862" spans="1:10" ht="15.75" x14ac:dyDescent="0.5">
      <c r="A2862" s="13" t="s">
        <v>384</v>
      </c>
      <c r="B2862" s="13" t="s">
        <v>420</v>
      </c>
      <c r="C2862" s="13" t="s">
        <v>400</v>
      </c>
      <c r="D2862" s="14">
        <v>-13.987252957808327</v>
      </c>
      <c r="E2862" s="14">
        <v>-13.655434129301693</v>
      </c>
      <c r="F2862" s="14">
        <v>-12.889245913944327</v>
      </c>
      <c r="G2862" s="14">
        <v>-11.781684839392049</v>
      </c>
      <c r="H2862" s="14">
        <v>-16.064458023051667</v>
      </c>
      <c r="I2862" s="14">
        <v>-16.427951599502283</v>
      </c>
      <c r="J2862" s="14">
        <v>-17.003616189438336</v>
      </c>
    </row>
    <row r="2863" spans="1:10" ht="15.75" x14ac:dyDescent="0.5">
      <c r="A2863" s="13" t="s">
        <v>385</v>
      </c>
      <c r="B2863" s="13" t="s">
        <v>399</v>
      </c>
      <c r="C2863" s="13" t="s">
        <v>400</v>
      </c>
      <c r="D2863" s="14">
        <v>7.249906462559788</v>
      </c>
      <c r="E2863" s="14">
        <v>0.20898282707147658</v>
      </c>
      <c r="F2863" s="14">
        <v>0.51246000000000125</v>
      </c>
      <c r="G2863" s="14">
        <v>0.33375600000000072</v>
      </c>
      <c r="H2863" s="14">
        <v>0.58177241444613947</v>
      </c>
      <c r="I2863" s="14">
        <v>0.51626944679769649</v>
      </c>
      <c r="J2863" s="14">
        <v>0.28913380862262034</v>
      </c>
    </row>
    <row r="2864" spans="1:10" ht="15.75" x14ac:dyDescent="0.5">
      <c r="A2864" s="13" t="s">
        <v>385</v>
      </c>
      <c r="B2864" s="13" t="s">
        <v>401</v>
      </c>
      <c r="C2864" s="13" t="s">
        <v>400</v>
      </c>
      <c r="D2864" s="14" t="s">
        <v>250</v>
      </c>
      <c r="E2864" s="14" t="s">
        <v>250</v>
      </c>
      <c r="F2864" s="14">
        <v>81.212729667525537</v>
      </c>
      <c r="G2864" s="14">
        <v>81.212729667525551</v>
      </c>
      <c r="H2864" s="14">
        <v>6.7499649363553074</v>
      </c>
      <c r="I2864" s="14">
        <v>6.3313134710216348</v>
      </c>
      <c r="J2864" s="14" t="s">
        <v>250</v>
      </c>
    </row>
    <row r="2865" spans="1:10" ht="15.75" x14ac:dyDescent="0.5">
      <c r="A2865" s="13" t="s">
        <v>385</v>
      </c>
      <c r="B2865" s="13" t="s">
        <v>402</v>
      </c>
      <c r="C2865" s="13" t="s">
        <v>400</v>
      </c>
      <c r="D2865" s="14">
        <v>1072.9916742877465</v>
      </c>
      <c r="E2865" s="14">
        <v>275.94065221513119</v>
      </c>
      <c r="F2865" s="14">
        <v>153.54781339145981</v>
      </c>
      <c r="G2865" s="14">
        <v>138.9689896586894</v>
      </c>
      <c r="H2865" s="14">
        <v>116.62014100914018</v>
      </c>
      <c r="I2865" s="14">
        <v>109.17677490155367</v>
      </c>
      <c r="J2865" s="14">
        <v>75.175900748711385</v>
      </c>
    </row>
    <row r="2866" spans="1:10" ht="15.75" x14ac:dyDescent="0.5">
      <c r="A2866" s="13" t="s">
        <v>385</v>
      </c>
      <c r="B2866" s="13" t="s">
        <v>403</v>
      </c>
      <c r="C2866" s="13" t="s">
        <v>400</v>
      </c>
      <c r="D2866" s="14" t="s">
        <v>250</v>
      </c>
      <c r="E2866" s="14" t="s">
        <v>250</v>
      </c>
      <c r="F2866" s="14">
        <v>31.030203035591896</v>
      </c>
      <c r="G2866" s="14">
        <v>31.030203035591882</v>
      </c>
      <c r="H2866" s="14">
        <v>6.2873149134993938</v>
      </c>
      <c r="I2866" s="14">
        <v>6.2873149134993929</v>
      </c>
      <c r="J2866" s="14" t="s">
        <v>250</v>
      </c>
    </row>
    <row r="2867" spans="1:10" ht="15.75" x14ac:dyDescent="0.5">
      <c r="A2867" s="13" t="s">
        <v>385</v>
      </c>
      <c r="B2867" s="13" t="s">
        <v>404</v>
      </c>
      <c r="C2867" s="13" t="s">
        <v>400</v>
      </c>
      <c r="D2867" s="14" t="s">
        <v>250</v>
      </c>
      <c r="E2867" s="14" t="s">
        <v>250</v>
      </c>
      <c r="F2867" s="14" t="s">
        <v>250</v>
      </c>
      <c r="G2867" s="14" t="s">
        <v>250</v>
      </c>
      <c r="H2867" s="14" t="s">
        <v>250</v>
      </c>
      <c r="I2867" s="14">
        <v>0.33069896914528535</v>
      </c>
      <c r="J2867" s="14">
        <v>0.33069896914528535</v>
      </c>
    </row>
    <row r="2868" spans="1:10" ht="15.75" x14ac:dyDescent="0.5">
      <c r="A2868" s="13" t="s">
        <v>385</v>
      </c>
      <c r="B2868" s="13" t="s">
        <v>421</v>
      </c>
      <c r="C2868" s="13" t="s">
        <v>400</v>
      </c>
      <c r="D2868" s="14" t="s">
        <v>250</v>
      </c>
      <c r="E2868" s="14" t="s">
        <v>250</v>
      </c>
      <c r="F2868" s="14" t="s">
        <v>250</v>
      </c>
      <c r="G2868" s="14">
        <v>801.507206548574</v>
      </c>
      <c r="H2868" s="14">
        <v>2145.6612922252079</v>
      </c>
      <c r="I2868" s="14">
        <v>2153.2985058966838</v>
      </c>
      <c r="J2868" s="14">
        <v>344.47578327497462</v>
      </c>
    </row>
    <row r="2869" spans="1:10" ht="15.75" x14ac:dyDescent="0.5">
      <c r="A2869" s="13" t="s">
        <v>385</v>
      </c>
      <c r="B2869" s="13" t="s">
        <v>405</v>
      </c>
      <c r="C2869" s="13" t="s">
        <v>400</v>
      </c>
      <c r="D2869" s="14">
        <v>1259.389129088994</v>
      </c>
      <c r="E2869" s="14">
        <v>1471.7582645034227</v>
      </c>
      <c r="F2869" s="14">
        <v>1637.7085829530135</v>
      </c>
      <c r="G2869" s="14">
        <v>1553.1325999897292</v>
      </c>
      <c r="H2869" s="14">
        <v>1167.9497874485874</v>
      </c>
      <c r="I2869" s="14">
        <v>1408.1552823934855</v>
      </c>
      <c r="J2869" s="14">
        <v>2990.7487997494618</v>
      </c>
    </row>
    <row r="2870" spans="1:10" ht="15.75" x14ac:dyDescent="0.5">
      <c r="A2870" s="13" t="s">
        <v>385</v>
      </c>
      <c r="B2870" s="13" t="s">
        <v>406</v>
      </c>
      <c r="C2870" s="13" t="s">
        <v>400</v>
      </c>
      <c r="D2870" s="14">
        <v>23.479196814299328</v>
      </c>
      <c r="E2870" s="14">
        <v>28.363873979676342</v>
      </c>
      <c r="F2870" s="14">
        <v>42.922906706486806</v>
      </c>
      <c r="G2870" s="14">
        <v>42.960031822412517</v>
      </c>
      <c r="H2870" s="14">
        <v>42.36616774390982</v>
      </c>
      <c r="I2870" s="14">
        <v>42.833836625019984</v>
      </c>
      <c r="J2870" s="14">
        <v>40.515796886598245</v>
      </c>
    </row>
    <row r="2871" spans="1:10" ht="15.75" x14ac:dyDescent="0.5">
      <c r="A2871" s="13" t="s">
        <v>385</v>
      </c>
      <c r="B2871" s="13" t="s">
        <v>407</v>
      </c>
      <c r="C2871" s="13" t="s">
        <v>400</v>
      </c>
      <c r="D2871" s="14" t="s">
        <v>250</v>
      </c>
      <c r="E2871" s="14">
        <v>98.058166837312172</v>
      </c>
      <c r="F2871" s="14">
        <v>61.750079827358583</v>
      </c>
      <c r="G2871" s="14">
        <v>74.280176892586695</v>
      </c>
      <c r="H2871" s="14">
        <v>30.853178796287395</v>
      </c>
      <c r="I2871" s="14">
        <v>22.919016311041169</v>
      </c>
      <c r="J2871" s="14">
        <v>1.9751006858611462</v>
      </c>
    </row>
    <row r="2872" spans="1:10" ht="15.75" x14ac:dyDescent="0.5">
      <c r="A2872" s="13" t="s">
        <v>385</v>
      </c>
      <c r="B2872" s="13" t="s">
        <v>408</v>
      </c>
      <c r="C2872" s="13" t="s">
        <v>400</v>
      </c>
      <c r="D2872" s="14">
        <v>46.892290321001227</v>
      </c>
      <c r="E2872" s="14">
        <v>30.038005680329011</v>
      </c>
      <c r="F2872" s="14">
        <v>22.7449194802604</v>
      </c>
      <c r="G2872" s="14">
        <v>26.360529747101172</v>
      </c>
      <c r="H2872" s="14">
        <v>25.818920963861558</v>
      </c>
      <c r="I2872" s="14">
        <v>27.626689333947454</v>
      </c>
      <c r="J2872" s="14">
        <v>28.459405025777933</v>
      </c>
    </row>
    <row r="2873" spans="1:10" ht="15.75" x14ac:dyDescent="0.5">
      <c r="A2873" s="13" t="s">
        <v>385</v>
      </c>
      <c r="B2873" s="13" t="s">
        <v>409</v>
      </c>
      <c r="C2873" s="13" t="s">
        <v>400</v>
      </c>
      <c r="D2873" s="14">
        <v>18.365704270000034</v>
      </c>
      <c r="E2873" s="14">
        <v>18.365704270000037</v>
      </c>
      <c r="F2873" s="14">
        <v>18.365704270000034</v>
      </c>
      <c r="G2873" s="14">
        <v>18.365704270000037</v>
      </c>
      <c r="H2873" s="14">
        <v>18.365704270000034</v>
      </c>
      <c r="I2873" s="14">
        <v>18.365704270000037</v>
      </c>
      <c r="J2873" s="14">
        <v>18.36570427000003</v>
      </c>
    </row>
    <row r="2874" spans="1:10" ht="15.75" x14ac:dyDescent="0.5">
      <c r="A2874" s="13" t="s">
        <v>385</v>
      </c>
      <c r="B2874" s="13" t="s">
        <v>410</v>
      </c>
      <c r="C2874" s="13" t="s">
        <v>400</v>
      </c>
      <c r="D2874" s="14">
        <v>245.79356253202215</v>
      </c>
      <c r="E2874" s="14">
        <v>244.59673080280641</v>
      </c>
      <c r="F2874" s="14">
        <v>245.73093186621264</v>
      </c>
      <c r="G2874" s="14">
        <v>246.1497328024129</v>
      </c>
      <c r="H2874" s="14">
        <v>246.16997594139096</v>
      </c>
      <c r="I2874" s="14">
        <v>246.16997594139107</v>
      </c>
      <c r="J2874" s="14">
        <v>246.16997594139107</v>
      </c>
    </row>
    <row r="2875" spans="1:10" ht="15.75" x14ac:dyDescent="0.5">
      <c r="A2875" s="13" t="s">
        <v>385</v>
      </c>
      <c r="B2875" s="13" t="s">
        <v>411</v>
      </c>
      <c r="C2875" s="13" t="s">
        <v>400</v>
      </c>
      <c r="D2875" s="14">
        <v>7.1394000000000144</v>
      </c>
      <c r="E2875" s="14">
        <v>3.559348905109498</v>
      </c>
      <c r="F2875" s="14" t="s">
        <v>250</v>
      </c>
      <c r="G2875" s="14" t="s">
        <v>250</v>
      </c>
      <c r="H2875" s="14" t="s">
        <v>250</v>
      </c>
      <c r="I2875" s="14" t="s">
        <v>250</v>
      </c>
      <c r="J2875" s="14" t="s">
        <v>250</v>
      </c>
    </row>
    <row r="2876" spans="1:10" ht="15.75" x14ac:dyDescent="0.5">
      <c r="A2876" s="13" t="s">
        <v>385</v>
      </c>
      <c r="B2876" s="13" t="s">
        <v>412</v>
      </c>
      <c r="C2876" s="13" t="s">
        <v>400</v>
      </c>
      <c r="D2876" s="14">
        <v>760.72545968400175</v>
      </c>
      <c r="E2876" s="14">
        <v>743.32935906248906</v>
      </c>
      <c r="F2876" s="14">
        <v>536.75957706115548</v>
      </c>
      <c r="G2876" s="14">
        <v>556.68687899523297</v>
      </c>
      <c r="H2876" s="14">
        <v>558.44408102664636</v>
      </c>
      <c r="I2876" s="14">
        <v>558.4440810266467</v>
      </c>
      <c r="J2876" s="14">
        <v>447.46953654621376</v>
      </c>
    </row>
    <row r="2877" spans="1:10" ht="15.75" x14ac:dyDescent="0.5">
      <c r="A2877" s="13" t="s">
        <v>385</v>
      </c>
      <c r="B2877" s="13" t="s">
        <v>413</v>
      </c>
      <c r="C2877" s="13" t="s">
        <v>400</v>
      </c>
      <c r="D2877" s="14">
        <v>23.702927619886133</v>
      </c>
      <c r="E2877" s="14">
        <v>27.249396435748171</v>
      </c>
      <c r="F2877" s="14">
        <v>10.58395089226949</v>
      </c>
      <c r="G2877" s="14">
        <v>4.2802031484791785</v>
      </c>
      <c r="H2877" s="14">
        <v>2.0453632218737559</v>
      </c>
      <c r="I2877" s="14">
        <v>1.5605342102327893</v>
      </c>
      <c r="J2877" s="14">
        <v>1.0901300999751358</v>
      </c>
    </row>
    <row r="2878" spans="1:10" ht="15.75" x14ac:dyDescent="0.5">
      <c r="A2878" s="13" t="s">
        <v>385</v>
      </c>
      <c r="B2878" s="13" t="s">
        <v>414</v>
      </c>
      <c r="C2878" s="13" t="s">
        <v>400</v>
      </c>
      <c r="D2878" s="14">
        <v>0.6803907705109502</v>
      </c>
      <c r="E2878" s="14">
        <v>24.424350919111909</v>
      </c>
      <c r="F2878" s="14">
        <v>100.42278652114452</v>
      </c>
      <c r="G2878" s="14">
        <v>206.55847340167574</v>
      </c>
      <c r="H2878" s="14">
        <v>252.97605633161228</v>
      </c>
      <c r="I2878" s="14">
        <v>254.49371100918339</v>
      </c>
      <c r="J2878" s="14">
        <v>255.66887340736784</v>
      </c>
    </row>
    <row r="2879" spans="1:10" ht="15.75" x14ac:dyDescent="0.5">
      <c r="A2879" s="13" t="s">
        <v>385</v>
      </c>
      <c r="B2879" s="13" t="s">
        <v>415</v>
      </c>
      <c r="C2879" s="13" t="s">
        <v>400</v>
      </c>
      <c r="D2879" s="14">
        <v>440.53124483255556</v>
      </c>
      <c r="E2879" s="14">
        <v>873.81161417244311</v>
      </c>
      <c r="F2879" s="14">
        <v>1349.3989590178103</v>
      </c>
      <c r="G2879" s="14">
        <v>1422.0701010577586</v>
      </c>
      <c r="H2879" s="14">
        <v>1488.3751408723533</v>
      </c>
      <c r="I2879" s="14">
        <v>1542.767294362613</v>
      </c>
      <c r="J2879" s="14">
        <v>1836.6852523049315</v>
      </c>
    </row>
    <row r="2880" spans="1:10" ht="15.75" x14ac:dyDescent="0.5">
      <c r="A2880" s="13" t="s">
        <v>385</v>
      </c>
      <c r="B2880" s="13" t="s">
        <v>416</v>
      </c>
      <c r="C2880" s="13" t="s">
        <v>400</v>
      </c>
      <c r="D2880" s="14" t="s">
        <v>250</v>
      </c>
      <c r="E2880" s="14">
        <v>70.934498682900767</v>
      </c>
      <c r="F2880" s="14">
        <v>100.19546122793705</v>
      </c>
      <c r="G2880" s="14">
        <v>127.69344447727376</v>
      </c>
      <c r="H2880" s="14">
        <v>145.88323771792341</v>
      </c>
      <c r="I2880" s="14">
        <v>165.77906731373227</v>
      </c>
      <c r="J2880" s="14">
        <v>186.2865730549081</v>
      </c>
    </row>
    <row r="2881" spans="1:10" ht="15.75" x14ac:dyDescent="0.5">
      <c r="A2881" s="13" t="s">
        <v>385</v>
      </c>
      <c r="B2881" s="13" t="s">
        <v>417</v>
      </c>
      <c r="C2881" s="13" t="s">
        <v>400</v>
      </c>
      <c r="D2881" s="14">
        <v>187.48709633408694</v>
      </c>
      <c r="E2881" s="14">
        <v>298.41785742393517</v>
      </c>
      <c r="F2881" s="14">
        <v>340.382230923142</v>
      </c>
      <c r="G2881" s="14">
        <v>454.7457730444716</v>
      </c>
      <c r="H2881" s="14">
        <v>714.08737785291839</v>
      </c>
      <c r="I2881" s="14">
        <v>1287.2208284166445</v>
      </c>
      <c r="J2881" s="14">
        <v>1968.4367257017684</v>
      </c>
    </row>
    <row r="2882" spans="1:10" ht="15.75" x14ac:dyDescent="0.5">
      <c r="A2882" s="13" t="s">
        <v>385</v>
      </c>
      <c r="B2882" s="13" t="s">
        <v>418</v>
      </c>
      <c r="C2882" s="13" t="s">
        <v>400</v>
      </c>
      <c r="D2882" s="14">
        <v>3.1841751731019534</v>
      </c>
      <c r="E2882" s="14">
        <v>3.184175173101953</v>
      </c>
      <c r="F2882" s="14">
        <v>3.184175173101953</v>
      </c>
      <c r="G2882" s="14">
        <v>3.184175173101953</v>
      </c>
      <c r="H2882" s="14">
        <v>3.184175173101953</v>
      </c>
      <c r="I2882" s="14">
        <v>3.184175173101953</v>
      </c>
      <c r="J2882" s="14">
        <v>3.184175173101953</v>
      </c>
    </row>
    <row r="2883" spans="1:10" ht="15.75" x14ac:dyDescent="0.5">
      <c r="A2883" s="13" t="s">
        <v>385</v>
      </c>
      <c r="B2883" s="13" t="s">
        <v>419</v>
      </c>
      <c r="C2883" s="13" t="s">
        <v>400</v>
      </c>
      <c r="D2883" s="14">
        <v>0.54465920264079504</v>
      </c>
      <c r="E2883" s="14">
        <v>8.7449934753947733</v>
      </c>
      <c r="F2883" s="14">
        <v>17.619559211459034</v>
      </c>
      <c r="G2883" s="14">
        <v>42.26821602458304</v>
      </c>
      <c r="H2883" s="14">
        <v>103.42832203516008</v>
      </c>
      <c r="I2883" s="14">
        <v>193.26193143056872</v>
      </c>
      <c r="J2883" s="14">
        <v>307.57990768514884</v>
      </c>
    </row>
    <row r="2884" spans="1:10" ht="15.75" x14ac:dyDescent="0.5">
      <c r="A2884" s="13" t="s">
        <v>385</v>
      </c>
      <c r="B2884" s="13" t="s">
        <v>420</v>
      </c>
      <c r="C2884" s="13" t="s">
        <v>400</v>
      </c>
      <c r="D2884" s="14">
        <v>-13.987252957808357</v>
      </c>
      <c r="E2884" s="14">
        <v>-13.653945075918468</v>
      </c>
      <c r="F2884" s="14">
        <v>-12.901042548298673</v>
      </c>
      <c r="G2884" s="14">
        <v>-11.785837951033725</v>
      </c>
      <c r="H2884" s="14">
        <v>-16.066522016240107</v>
      </c>
      <c r="I2884" s="14">
        <v>-16.427951595982979</v>
      </c>
      <c r="J2884" s="14">
        <v>-17.00361619733961</v>
      </c>
    </row>
    <row r="2885" spans="1:10" ht="15.75" x14ac:dyDescent="0.5">
      <c r="A2885" s="13" t="s">
        <v>386</v>
      </c>
      <c r="B2885" s="13" t="s">
        <v>399</v>
      </c>
      <c r="C2885" s="13" t="s">
        <v>400</v>
      </c>
      <c r="D2885" s="14">
        <v>7.249906462559788</v>
      </c>
      <c r="E2885" s="14">
        <v>0.20898282707146437</v>
      </c>
      <c r="F2885" s="14">
        <v>0.51246000000000103</v>
      </c>
      <c r="G2885" s="14">
        <v>0.33375600000000061</v>
      </c>
      <c r="H2885" s="14">
        <v>0.57007988321167991</v>
      </c>
      <c r="I2885" s="14">
        <v>0.30445848175182544</v>
      </c>
      <c r="J2885" s="14">
        <v>0.11091363503649654</v>
      </c>
    </row>
    <row r="2886" spans="1:10" ht="15.75" x14ac:dyDescent="0.5">
      <c r="A2886" s="13" t="s">
        <v>386</v>
      </c>
      <c r="B2886" s="13" t="s">
        <v>401</v>
      </c>
      <c r="C2886" s="13" t="s">
        <v>400</v>
      </c>
      <c r="D2886" s="14" t="s">
        <v>250</v>
      </c>
      <c r="E2886" s="14" t="s">
        <v>250</v>
      </c>
      <c r="F2886" s="14">
        <v>80.936427587418407</v>
      </c>
      <c r="G2886" s="14">
        <v>80.936427587418407</v>
      </c>
      <c r="H2886" s="14">
        <v>6.6285912033944276</v>
      </c>
      <c r="I2886" s="14">
        <v>6.2503339580740942</v>
      </c>
      <c r="J2886" s="14" t="s">
        <v>250</v>
      </c>
    </row>
    <row r="2887" spans="1:10" ht="15.75" x14ac:dyDescent="0.5">
      <c r="A2887" s="13" t="s">
        <v>386</v>
      </c>
      <c r="B2887" s="13" t="s">
        <v>402</v>
      </c>
      <c r="C2887" s="13" t="s">
        <v>400</v>
      </c>
      <c r="D2887" s="14">
        <v>1072.9916742877463</v>
      </c>
      <c r="E2887" s="14">
        <v>276.03811641105665</v>
      </c>
      <c r="F2887" s="14">
        <v>153.48483066501817</v>
      </c>
      <c r="G2887" s="14">
        <v>138.84132549026708</v>
      </c>
      <c r="H2887" s="14">
        <v>116.14849745335516</v>
      </c>
      <c r="I2887" s="14">
        <v>106.03448688765471</v>
      </c>
      <c r="J2887" s="14">
        <v>73.7626269052829</v>
      </c>
    </row>
    <row r="2888" spans="1:10" ht="15.75" x14ac:dyDescent="0.5">
      <c r="A2888" s="13" t="s">
        <v>386</v>
      </c>
      <c r="B2888" s="13" t="s">
        <v>403</v>
      </c>
      <c r="C2888" s="13" t="s">
        <v>400</v>
      </c>
      <c r="D2888" s="14" t="s">
        <v>250</v>
      </c>
      <c r="E2888" s="14" t="s">
        <v>250</v>
      </c>
      <c r="F2888" s="14">
        <v>30.99300459351975</v>
      </c>
      <c r="G2888" s="14">
        <v>30.993004593519753</v>
      </c>
      <c r="H2888" s="14">
        <v>6.2792912678716704</v>
      </c>
      <c r="I2888" s="14">
        <v>6.2792912678716704</v>
      </c>
      <c r="J2888" s="14" t="s">
        <v>250</v>
      </c>
    </row>
    <row r="2889" spans="1:10" ht="15.75" x14ac:dyDescent="0.5">
      <c r="A2889" s="13" t="s">
        <v>386</v>
      </c>
      <c r="B2889" s="13" t="s">
        <v>404</v>
      </c>
      <c r="C2889" s="13" t="s">
        <v>400</v>
      </c>
      <c r="D2889" s="14" t="s">
        <v>250</v>
      </c>
      <c r="E2889" s="14" t="s">
        <v>250</v>
      </c>
      <c r="F2889" s="14" t="s">
        <v>250</v>
      </c>
      <c r="G2889" s="14" t="s">
        <v>250</v>
      </c>
      <c r="H2889" s="14" t="s">
        <v>250</v>
      </c>
      <c r="I2889" s="14">
        <v>0.33069896914528535</v>
      </c>
      <c r="J2889" s="14">
        <v>0.33069896914528535</v>
      </c>
    </row>
    <row r="2890" spans="1:10" ht="15.75" x14ac:dyDescent="0.5">
      <c r="A2890" s="13" t="s">
        <v>386</v>
      </c>
      <c r="B2890" s="13" t="s">
        <v>421</v>
      </c>
      <c r="C2890" s="13" t="s">
        <v>400</v>
      </c>
      <c r="D2890" s="14" t="s">
        <v>250</v>
      </c>
      <c r="E2890" s="14" t="s">
        <v>250</v>
      </c>
      <c r="F2890" s="14" t="s">
        <v>250</v>
      </c>
      <c r="G2890" s="14">
        <v>809.07874443351091</v>
      </c>
      <c r="H2890" s="14">
        <v>2171.4879951672692</v>
      </c>
      <c r="I2890" s="14">
        <v>2181.2209517548267</v>
      </c>
      <c r="J2890" s="14">
        <v>347.57430558244096</v>
      </c>
    </row>
    <row r="2891" spans="1:10" ht="15.75" x14ac:dyDescent="0.5">
      <c r="A2891" s="13" t="s">
        <v>386</v>
      </c>
      <c r="B2891" s="13" t="s">
        <v>405</v>
      </c>
      <c r="C2891" s="13" t="s">
        <v>400</v>
      </c>
      <c r="D2891" s="14">
        <v>1259.3891290889953</v>
      </c>
      <c r="E2891" s="14">
        <v>1470.8937754034775</v>
      </c>
      <c r="F2891" s="14">
        <v>1635.7915882820555</v>
      </c>
      <c r="G2891" s="14">
        <v>1546.9306727273579</v>
      </c>
      <c r="H2891" s="14">
        <v>1125.4933268452805</v>
      </c>
      <c r="I2891" s="14">
        <v>1375.2857799160477</v>
      </c>
      <c r="J2891" s="14">
        <v>2939.4745691100024</v>
      </c>
    </row>
    <row r="2892" spans="1:10" ht="15.75" x14ac:dyDescent="0.5">
      <c r="A2892" s="13" t="s">
        <v>386</v>
      </c>
      <c r="B2892" s="13" t="s">
        <v>406</v>
      </c>
      <c r="C2892" s="13" t="s">
        <v>400</v>
      </c>
      <c r="D2892" s="14">
        <v>23.479196814299328</v>
      </c>
      <c r="E2892" s="14">
        <v>28.483136067361663</v>
      </c>
      <c r="F2892" s="14">
        <v>42.995687179104692</v>
      </c>
      <c r="G2892" s="14">
        <v>43.16566272259125</v>
      </c>
      <c r="H2892" s="14">
        <v>42.578453019555766</v>
      </c>
      <c r="I2892" s="14">
        <v>43.575423548474753</v>
      </c>
      <c r="J2892" s="14">
        <v>40.135221049718581</v>
      </c>
    </row>
    <row r="2893" spans="1:10" ht="15.75" x14ac:dyDescent="0.5">
      <c r="A2893" s="13" t="s">
        <v>386</v>
      </c>
      <c r="B2893" s="13" t="s">
        <v>407</v>
      </c>
      <c r="C2893" s="13" t="s">
        <v>400</v>
      </c>
      <c r="D2893" s="14" t="s">
        <v>250</v>
      </c>
      <c r="E2893" s="14">
        <v>98.436027246683068</v>
      </c>
      <c r="F2893" s="14">
        <v>62.423334760323243</v>
      </c>
      <c r="G2893" s="14">
        <v>77.081689273054593</v>
      </c>
      <c r="H2893" s="14">
        <v>35.152249805849266</v>
      </c>
      <c r="I2893" s="14">
        <v>12.187203703703712</v>
      </c>
      <c r="J2893" s="14">
        <v>4.3958333333333401</v>
      </c>
    </row>
    <row r="2894" spans="1:10" ht="15.75" x14ac:dyDescent="0.5">
      <c r="A2894" s="13" t="s">
        <v>386</v>
      </c>
      <c r="B2894" s="13" t="s">
        <v>408</v>
      </c>
      <c r="C2894" s="13" t="s">
        <v>400</v>
      </c>
      <c r="D2894" s="14">
        <v>46.892290321001212</v>
      </c>
      <c r="E2894" s="14">
        <v>30.034718817659474</v>
      </c>
      <c r="F2894" s="14">
        <v>22.647877577092942</v>
      </c>
      <c r="G2894" s="14">
        <v>26.317079646007702</v>
      </c>
      <c r="H2894" s="14">
        <v>25.527002095549616</v>
      </c>
      <c r="I2894" s="14">
        <v>25.948945328613817</v>
      </c>
      <c r="J2894" s="14">
        <v>29.027385701426514</v>
      </c>
    </row>
    <row r="2895" spans="1:10" ht="15.75" x14ac:dyDescent="0.5">
      <c r="A2895" s="13" t="s">
        <v>386</v>
      </c>
      <c r="B2895" s="13" t="s">
        <v>409</v>
      </c>
      <c r="C2895" s="13" t="s">
        <v>400</v>
      </c>
      <c r="D2895" s="14">
        <v>18.365704270000034</v>
      </c>
      <c r="E2895" s="14">
        <v>18.365704270000037</v>
      </c>
      <c r="F2895" s="14">
        <v>18.365704270000034</v>
      </c>
      <c r="G2895" s="14">
        <v>18.365704270000034</v>
      </c>
      <c r="H2895" s="14">
        <v>18.365704270000034</v>
      </c>
      <c r="I2895" s="14">
        <v>18.365704270000034</v>
      </c>
      <c r="J2895" s="14">
        <v>18.36570427000003</v>
      </c>
    </row>
    <row r="2896" spans="1:10" ht="15.75" x14ac:dyDescent="0.5">
      <c r="A2896" s="13" t="s">
        <v>386</v>
      </c>
      <c r="B2896" s="13" t="s">
        <v>410</v>
      </c>
      <c r="C2896" s="13" t="s">
        <v>400</v>
      </c>
      <c r="D2896" s="14">
        <v>245.79356253202212</v>
      </c>
      <c r="E2896" s="14">
        <v>244.59771071761804</v>
      </c>
      <c r="F2896" s="14">
        <v>245.7303531705887</v>
      </c>
      <c r="G2896" s="14">
        <v>246.14973280241227</v>
      </c>
      <c r="H2896" s="14">
        <v>246.16997594139116</v>
      </c>
      <c r="I2896" s="14">
        <v>246.16997594139104</v>
      </c>
      <c r="J2896" s="14">
        <v>246.16997594139099</v>
      </c>
    </row>
    <row r="2897" spans="1:10" ht="15.75" x14ac:dyDescent="0.5">
      <c r="A2897" s="13" t="s">
        <v>386</v>
      </c>
      <c r="B2897" s="13" t="s">
        <v>411</v>
      </c>
      <c r="C2897" s="13" t="s">
        <v>400</v>
      </c>
      <c r="D2897" s="14">
        <v>7.1394000000000162</v>
      </c>
      <c r="E2897" s="14">
        <v>3.559348905109498</v>
      </c>
      <c r="F2897" s="14" t="s">
        <v>250</v>
      </c>
      <c r="G2897" s="14" t="s">
        <v>250</v>
      </c>
      <c r="H2897" s="14" t="s">
        <v>250</v>
      </c>
      <c r="I2897" s="14" t="s">
        <v>250</v>
      </c>
      <c r="J2897" s="14" t="s">
        <v>250</v>
      </c>
    </row>
    <row r="2898" spans="1:10" ht="15.75" x14ac:dyDescent="0.5">
      <c r="A2898" s="13" t="s">
        <v>386</v>
      </c>
      <c r="B2898" s="13" t="s">
        <v>412</v>
      </c>
      <c r="C2898" s="13" t="s">
        <v>400</v>
      </c>
      <c r="D2898" s="14">
        <v>760.72545968400163</v>
      </c>
      <c r="E2898" s="14">
        <v>743.38451453023129</v>
      </c>
      <c r="F2898" s="14">
        <v>538.66479556382671</v>
      </c>
      <c r="G2898" s="14">
        <v>557.05994420469733</v>
      </c>
      <c r="H2898" s="14">
        <v>610.00570769739113</v>
      </c>
      <c r="I2898" s="14">
        <v>697.41408803546835</v>
      </c>
      <c r="J2898" s="14">
        <v>581.11337862609662</v>
      </c>
    </row>
    <row r="2899" spans="1:10" ht="15.75" x14ac:dyDescent="0.5">
      <c r="A2899" s="13" t="s">
        <v>386</v>
      </c>
      <c r="B2899" s="13" t="s">
        <v>413</v>
      </c>
      <c r="C2899" s="13" t="s">
        <v>400</v>
      </c>
      <c r="D2899" s="14">
        <v>23.702927619886133</v>
      </c>
      <c r="E2899" s="14">
        <v>27.31129994313163</v>
      </c>
      <c r="F2899" s="14">
        <v>10.618862751093435</v>
      </c>
      <c r="G2899" s="14">
        <v>4.4154047558061338</v>
      </c>
      <c r="H2899" s="14">
        <v>1.9454270096216513</v>
      </c>
      <c r="I2899" s="14">
        <v>1.5022843643866501</v>
      </c>
      <c r="J2899" s="14">
        <v>1.0703008469207191</v>
      </c>
    </row>
    <row r="2900" spans="1:10" ht="15.75" x14ac:dyDescent="0.5">
      <c r="A2900" s="13" t="s">
        <v>386</v>
      </c>
      <c r="B2900" s="13" t="s">
        <v>414</v>
      </c>
      <c r="C2900" s="13" t="s">
        <v>400</v>
      </c>
      <c r="D2900" s="14">
        <v>0.6803907705109502</v>
      </c>
      <c r="E2900" s="14">
        <v>24.425204477336266</v>
      </c>
      <c r="F2900" s="14">
        <v>100.4130109105283</v>
      </c>
      <c r="G2900" s="14">
        <v>206.52500724926475</v>
      </c>
      <c r="H2900" s="14">
        <v>252.94229029184893</v>
      </c>
      <c r="I2900" s="14">
        <v>254.45972164905115</v>
      </c>
      <c r="J2900" s="14">
        <v>255.63471177152257</v>
      </c>
    </row>
    <row r="2901" spans="1:10" ht="15.75" x14ac:dyDescent="0.5">
      <c r="A2901" s="13" t="s">
        <v>386</v>
      </c>
      <c r="B2901" s="13" t="s">
        <v>415</v>
      </c>
      <c r="C2901" s="13" t="s">
        <v>400</v>
      </c>
      <c r="D2901" s="14">
        <v>440.53124483255561</v>
      </c>
      <c r="E2901" s="14">
        <v>873.81161417244334</v>
      </c>
      <c r="F2901" s="14">
        <v>1348.6130608517356</v>
      </c>
      <c r="G2901" s="14">
        <v>1415.3397597022783</v>
      </c>
      <c r="H2901" s="14">
        <v>1469.355871829755</v>
      </c>
      <c r="I2901" s="14">
        <v>1505.4402928060977</v>
      </c>
      <c r="J2901" s="14">
        <v>1790.2595617315305</v>
      </c>
    </row>
    <row r="2902" spans="1:10" ht="15.75" x14ac:dyDescent="0.5">
      <c r="A2902" s="13" t="s">
        <v>386</v>
      </c>
      <c r="B2902" s="13" t="s">
        <v>416</v>
      </c>
      <c r="C2902" s="13" t="s">
        <v>400</v>
      </c>
      <c r="D2902" s="14" t="s">
        <v>250</v>
      </c>
      <c r="E2902" s="14">
        <v>70.934498682900724</v>
      </c>
      <c r="F2902" s="14">
        <v>100.19546122793697</v>
      </c>
      <c r="G2902" s="14">
        <v>127.69344447727367</v>
      </c>
      <c r="H2902" s="14">
        <v>145.88323771792349</v>
      </c>
      <c r="I2902" s="14">
        <v>165.77906731373221</v>
      </c>
      <c r="J2902" s="14">
        <v>186.2865730549081</v>
      </c>
    </row>
    <row r="2903" spans="1:10" ht="15.75" x14ac:dyDescent="0.5">
      <c r="A2903" s="13" t="s">
        <v>386</v>
      </c>
      <c r="B2903" s="13" t="s">
        <v>417</v>
      </c>
      <c r="C2903" s="13" t="s">
        <v>400</v>
      </c>
      <c r="D2903" s="14">
        <v>187.48709633408683</v>
      </c>
      <c r="E2903" s="14">
        <v>298.41785742393535</v>
      </c>
      <c r="F2903" s="14">
        <v>340.45445800003745</v>
      </c>
      <c r="G2903" s="14">
        <v>459.52941754167966</v>
      </c>
      <c r="H2903" s="14">
        <v>687.8552372826407</v>
      </c>
      <c r="I2903" s="14">
        <v>1186.2779239642623</v>
      </c>
      <c r="J2903" s="14">
        <v>1904.4285753868282</v>
      </c>
    </row>
    <row r="2904" spans="1:10" ht="15.75" x14ac:dyDescent="0.5">
      <c r="A2904" s="13" t="s">
        <v>386</v>
      </c>
      <c r="B2904" s="13" t="s">
        <v>418</v>
      </c>
      <c r="C2904" s="13" t="s">
        <v>400</v>
      </c>
      <c r="D2904" s="14">
        <v>3.184175173101953</v>
      </c>
      <c r="E2904" s="14">
        <v>3.184175173101953</v>
      </c>
      <c r="F2904" s="14">
        <v>3.184175173101953</v>
      </c>
      <c r="G2904" s="14">
        <v>3.1841751731019534</v>
      </c>
      <c r="H2904" s="14">
        <v>3.184175173101953</v>
      </c>
      <c r="I2904" s="14">
        <v>3.184175173101953</v>
      </c>
      <c r="J2904" s="14">
        <v>3.1841751731019539</v>
      </c>
    </row>
    <row r="2905" spans="1:10" ht="15.75" x14ac:dyDescent="0.5">
      <c r="A2905" s="13" t="s">
        <v>386</v>
      </c>
      <c r="B2905" s="13" t="s">
        <v>419</v>
      </c>
      <c r="C2905" s="13" t="s">
        <v>400</v>
      </c>
      <c r="D2905" s="14">
        <v>0.54465920264079493</v>
      </c>
      <c r="E2905" s="14">
        <v>8.7914570344680616</v>
      </c>
      <c r="F2905" s="14">
        <v>17.789953354657715</v>
      </c>
      <c r="G2905" s="14">
        <v>41.044743061537979</v>
      </c>
      <c r="H2905" s="14">
        <v>98.519439265420303</v>
      </c>
      <c r="I2905" s="14">
        <v>146.59449675050681</v>
      </c>
      <c r="J2905" s="14">
        <v>249.20161575235537</v>
      </c>
    </row>
    <row r="2906" spans="1:10" ht="15.75" x14ac:dyDescent="0.5">
      <c r="A2906" s="13" t="s">
        <v>386</v>
      </c>
      <c r="B2906" s="13" t="s">
        <v>420</v>
      </c>
      <c r="C2906" s="13" t="s">
        <v>400</v>
      </c>
      <c r="D2906" s="14">
        <v>-13.987252957808357</v>
      </c>
      <c r="E2906" s="14">
        <v>-13.669229406474468</v>
      </c>
      <c r="F2906" s="14">
        <v>-12.948862017263064</v>
      </c>
      <c r="G2906" s="14">
        <v>-11.717506222660912</v>
      </c>
      <c r="H2906" s="14">
        <v>-16.267535458532347</v>
      </c>
      <c r="I2906" s="14">
        <v>-15.454613833858495</v>
      </c>
      <c r="J2906" s="14">
        <v>-17.022488405974975</v>
      </c>
    </row>
    <row r="2907" spans="1:10" ht="15.75" x14ac:dyDescent="0.5">
      <c r="A2907" s="13" t="s">
        <v>387</v>
      </c>
      <c r="B2907" s="13" t="s">
        <v>399</v>
      </c>
      <c r="C2907" s="13" t="s">
        <v>400</v>
      </c>
      <c r="D2907" s="14">
        <v>7.2499064625597889</v>
      </c>
      <c r="E2907" s="14">
        <v>0.20898282707146959</v>
      </c>
      <c r="F2907" s="14">
        <v>0.51246000000000125</v>
      </c>
      <c r="G2907" s="14">
        <v>0.39215308029197155</v>
      </c>
      <c r="H2907" s="14">
        <v>0.31672537109947163</v>
      </c>
      <c r="I2907" s="14">
        <v>1.2434531033476304</v>
      </c>
      <c r="J2907" s="14">
        <v>1.8239371970802949</v>
      </c>
    </row>
    <row r="2908" spans="1:10" ht="15.75" x14ac:dyDescent="0.5">
      <c r="A2908" s="13" t="s">
        <v>387</v>
      </c>
      <c r="B2908" s="13" t="s">
        <v>401</v>
      </c>
      <c r="C2908" s="13" t="s">
        <v>400</v>
      </c>
      <c r="D2908" s="14" t="s">
        <v>250</v>
      </c>
      <c r="E2908" s="14" t="s">
        <v>250</v>
      </c>
      <c r="F2908" s="14">
        <v>110.03741098752869</v>
      </c>
      <c r="G2908" s="14">
        <v>110.03741098752866</v>
      </c>
      <c r="H2908" s="14">
        <v>26.457710023745804</v>
      </c>
      <c r="I2908" s="14">
        <v>19.26796163433281</v>
      </c>
      <c r="J2908" s="14" t="s">
        <v>250</v>
      </c>
    </row>
    <row r="2909" spans="1:10" ht="15.75" x14ac:dyDescent="0.5">
      <c r="A2909" s="13" t="s">
        <v>387</v>
      </c>
      <c r="B2909" s="13" t="s">
        <v>402</v>
      </c>
      <c r="C2909" s="13" t="s">
        <v>400</v>
      </c>
      <c r="D2909" s="14">
        <v>1072.9916742877463</v>
      </c>
      <c r="E2909" s="14">
        <v>276.1359119825953</v>
      </c>
      <c r="F2909" s="14">
        <v>136.65552591550039</v>
      </c>
      <c r="G2909" s="14">
        <v>96.155879377601579</v>
      </c>
      <c r="H2909" s="14">
        <v>77.60642569953275</v>
      </c>
      <c r="I2909" s="14">
        <v>16.268490963578472</v>
      </c>
      <c r="J2909" s="14" t="s">
        <v>250</v>
      </c>
    </row>
    <row r="2910" spans="1:10" ht="15.75" x14ac:dyDescent="0.5">
      <c r="A2910" s="13" t="s">
        <v>387</v>
      </c>
      <c r="B2910" s="13" t="s">
        <v>403</v>
      </c>
      <c r="C2910" s="13" t="s">
        <v>400</v>
      </c>
      <c r="D2910" s="14" t="s">
        <v>250</v>
      </c>
      <c r="E2910" s="14" t="s">
        <v>250</v>
      </c>
      <c r="F2910" s="14">
        <v>282.98495738136637</v>
      </c>
      <c r="G2910" s="14">
        <v>282.98495738136648</v>
      </c>
      <c r="H2910" s="14">
        <v>58.754598753771631</v>
      </c>
      <c r="I2910" s="14">
        <v>106.75973401139177</v>
      </c>
      <c r="J2910" s="14" t="s">
        <v>250</v>
      </c>
    </row>
    <row r="2911" spans="1:10" ht="15.75" x14ac:dyDescent="0.5">
      <c r="A2911" s="13" t="s">
        <v>387</v>
      </c>
      <c r="B2911" s="13" t="s">
        <v>404</v>
      </c>
      <c r="C2911" s="13" t="s">
        <v>400</v>
      </c>
      <c r="D2911" s="14" t="s">
        <v>250</v>
      </c>
      <c r="E2911" s="14" t="s">
        <v>250</v>
      </c>
      <c r="F2911" s="14" t="s">
        <v>250</v>
      </c>
      <c r="G2911" s="14" t="s">
        <v>250</v>
      </c>
      <c r="H2911" s="14" t="s">
        <v>250</v>
      </c>
      <c r="I2911" s="14">
        <v>0.33069896914528535</v>
      </c>
      <c r="J2911" s="14">
        <v>0.1438016932104092</v>
      </c>
    </row>
    <row r="2912" spans="1:10" ht="15.75" x14ac:dyDescent="0.5">
      <c r="A2912" s="13" t="s">
        <v>387</v>
      </c>
      <c r="B2912" s="13" t="s">
        <v>421</v>
      </c>
      <c r="C2912" s="13" t="s">
        <v>400</v>
      </c>
      <c r="D2912" s="14" t="s">
        <v>250</v>
      </c>
      <c r="E2912" s="14" t="s">
        <v>250</v>
      </c>
      <c r="F2912" s="14" t="s">
        <v>250</v>
      </c>
      <c r="G2912" s="14">
        <v>537.82323554110576</v>
      </c>
      <c r="H2912" s="14">
        <v>1448.1464511231281</v>
      </c>
      <c r="I2912" s="14">
        <v>1448.1868865274994</v>
      </c>
      <c r="J2912" s="14">
        <v>769.19707749293275</v>
      </c>
    </row>
    <row r="2913" spans="1:10" ht="15.75" x14ac:dyDescent="0.5">
      <c r="A2913" s="13" t="s">
        <v>387</v>
      </c>
      <c r="B2913" s="13" t="s">
        <v>405</v>
      </c>
      <c r="C2913" s="13" t="s">
        <v>400</v>
      </c>
      <c r="D2913" s="14">
        <v>1259.3891290889942</v>
      </c>
      <c r="E2913" s="14">
        <v>1468.6375375427162</v>
      </c>
      <c r="F2913" s="14">
        <v>1306.1237765887624</v>
      </c>
      <c r="G2913" s="14">
        <v>1312.9312051738204</v>
      </c>
      <c r="H2913" s="14">
        <v>923.10314001344591</v>
      </c>
      <c r="I2913" s="14">
        <v>610.39472691424669</v>
      </c>
      <c r="J2913" s="14">
        <v>265.09756311153222</v>
      </c>
    </row>
    <row r="2914" spans="1:10" ht="15.75" x14ac:dyDescent="0.5">
      <c r="A2914" s="13" t="s">
        <v>387</v>
      </c>
      <c r="B2914" s="13" t="s">
        <v>406</v>
      </c>
      <c r="C2914" s="13" t="s">
        <v>400</v>
      </c>
      <c r="D2914" s="14">
        <v>23.479196814299332</v>
      </c>
      <c r="E2914" s="14">
        <v>30.138911302587616</v>
      </c>
      <c r="F2914" s="14">
        <v>43.794455894183947</v>
      </c>
      <c r="G2914" s="14">
        <v>47.261392162244881</v>
      </c>
      <c r="H2914" s="14">
        <v>48.421072462650393</v>
      </c>
      <c r="I2914" s="14">
        <v>45.456344749034017</v>
      </c>
      <c r="J2914" s="14">
        <v>38.377406016850593</v>
      </c>
    </row>
    <row r="2915" spans="1:10" ht="15.75" x14ac:dyDescent="0.5">
      <c r="A2915" s="13" t="s">
        <v>387</v>
      </c>
      <c r="B2915" s="13" t="s">
        <v>407</v>
      </c>
      <c r="C2915" s="13" t="s">
        <v>400</v>
      </c>
      <c r="D2915" s="14" t="s">
        <v>250</v>
      </c>
      <c r="E2915" s="14">
        <v>98.479002176869926</v>
      </c>
      <c r="F2915" s="14">
        <v>51.894350430933827</v>
      </c>
      <c r="G2915" s="14">
        <v>140.5734416616485</v>
      </c>
      <c r="H2915" s="14">
        <v>109.58062775386499</v>
      </c>
      <c r="I2915" s="14">
        <v>75.337157177181879</v>
      </c>
      <c r="J2915" s="14">
        <v>24.552579063474159</v>
      </c>
    </row>
    <row r="2916" spans="1:10" ht="15.75" x14ac:dyDescent="0.5">
      <c r="A2916" s="13" t="s">
        <v>387</v>
      </c>
      <c r="B2916" s="13" t="s">
        <v>408</v>
      </c>
      <c r="C2916" s="13" t="s">
        <v>400</v>
      </c>
      <c r="D2916" s="14">
        <v>46.892290321001219</v>
      </c>
      <c r="E2916" s="14">
        <v>30.142278079092087</v>
      </c>
      <c r="F2916" s="14">
        <v>22.599901067034153</v>
      </c>
      <c r="G2916" s="14">
        <v>38.578911701580736</v>
      </c>
      <c r="H2916" s="14">
        <v>37.004031392045896</v>
      </c>
      <c r="I2916" s="14">
        <v>40.630980211058102</v>
      </c>
      <c r="J2916" s="14">
        <v>41.64586349191292</v>
      </c>
    </row>
    <row r="2917" spans="1:10" ht="15.75" x14ac:dyDescent="0.5">
      <c r="A2917" s="13" t="s">
        <v>387</v>
      </c>
      <c r="B2917" s="13" t="s">
        <v>409</v>
      </c>
      <c r="C2917" s="13" t="s">
        <v>400</v>
      </c>
      <c r="D2917" s="14">
        <v>18.365704270000037</v>
      </c>
      <c r="E2917" s="14">
        <v>18.365704270000034</v>
      </c>
      <c r="F2917" s="14">
        <v>18.365704270000034</v>
      </c>
      <c r="G2917" s="14">
        <v>18.365704270000037</v>
      </c>
      <c r="H2917" s="14">
        <v>18.36570427000003</v>
      </c>
      <c r="I2917" s="14">
        <v>18.365704270000037</v>
      </c>
      <c r="J2917" s="14">
        <v>17.669953192394196</v>
      </c>
    </row>
    <row r="2918" spans="1:10" ht="15.75" x14ac:dyDescent="0.5">
      <c r="A2918" s="13" t="s">
        <v>387</v>
      </c>
      <c r="B2918" s="13" t="s">
        <v>410</v>
      </c>
      <c r="C2918" s="13" t="s">
        <v>400</v>
      </c>
      <c r="D2918" s="14">
        <v>245.79356253202209</v>
      </c>
      <c r="E2918" s="14">
        <v>244.56295469073757</v>
      </c>
      <c r="F2918" s="14">
        <v>246.00398379600441</v>
      </c>
      <c r="G2918" s="14">
        <v>246.16997594137308</v>
      </c>
      <c r="H2918" s="14">
        <v>246.16997594144627</v>
      </c>
      <c r="I2918" s="14">
        <v>246.1699759413907</v>
      </c>
      <c r="J2918" s="14">
        <v>246.16997593819468</v>
      </c>
    </row>
    <row r="2919" spans="1:10" ht="15.75" x14ac:dyDescent="0.5">
      <c r="A2919" s="13" t="s">
        <v>387</v>
      </c>
      <c r="B2919" s="13" t="s">
        <v>411</v>
      </c>
      <c r="C2919" s="13" t="s">
        <v>400</v>
      </c>
      <c r="D2919" s="14">
        <v>7.1394000000000162</v>
      </c>
      <c r="E2919" s="14">
        <v>3.5593489051094966</v>
      </c>
      <c r="F2919" s="14" t="s">
        <v>250</v>
      </c>
      <c r="G2919" s="14" t="s">
        <v>250</v>
      </c>
      <c r="H2919" s="14" t="s">
        <v>250</v>
      </c>
      <c r="I2919" s="14" t="s">
        <v>250</v>
      </c>
      <c r="J2919" s="14" t="s">
        <v>250</v>
      </c>
    </row>
    <row r="2920" spans="1:10" ht="15.75" x14ac:dyDescent="0.5">
      <c r="A2920" s="13" t="s">
        <v>387</v>
      </c>
      <c r="B2920" s="13" t="s">
        <v>412</v>
      </c>
      <c r="C2920" s="13" t="s">
        <v>400</v>
      </c>
      <c r="D2920" s="14">
        <v>760.72545968400175</v>
      </c>
      <c r="E2920" s="14">
        <v>743.82472928745835</v>
      </c>
      <c r="F2920" s="14">
        <v>620.8394159770121</v>
      </c>
      <c r="G2920" s="14">
        <v>686.10169525966967</v>
      </c>
      <c r="H2920" s="14">
        <v>705.0422529006205</v>
      </c>
      <c r="I2920" s="14">
        <v>705.05771874880213</v>
      </c>
      <c r="J2920" s="14">
        <v>690.73444062132182</v>
      </c>
    </row>
    <row r="2921" spans="1:10" ht="15.75" x14ac:dyDescent="0.5">
      <c r="A2921" s="13" t="s">
        <v>387</v>
      </c>
      <c r="B2921" s="13" t="s">
        <v>413</v>
      </c>
      <c r="C2921" s="13" t="s">
        <v>400</v>
      </c>
      <c r="D2921" s="14">
        <v>23.702927619886133</v>
      </c>
      <c r="E2921" s="14">
        <v>28.277482802083302</v>
      </c>
      <c r="F2921" s="14">
        <v>10.017669977227779</v>
      </c>
      <c r="G2921" s="14">
        <v>3.6376062359066448</v>
      </c>
      <c r="H2921" s="14">
        <v>1.5262549786084738</v>
      </c>
      <c r="I2921" s="14">
        <v>0.6552078384218043</v>
      </c>
      <c r="J2921" s="14" t="s">
        <v>250</v>
      </c>
    </row>
    <row r="2922" spans="1:10" ht="15.75" x14ac:dyDescent="0.5">
      <c r="A2922" s="13" t="s">
        <v>387</v>
      </c>
      <c r="B2922" s="13" t="s">
        <v>414</v>
      </c>
      <c r="C2922" s="13" t="s">
        <v>400</v>
      </c>
      <c r="D2922" s="14">
        <v>0.6803907705109502</v>
      </c>
      <c r="E2922" s="14">
        <v>24.430349586525203</v>
      </c>
      <c r="F2922" s="14">
        <v>100.4212968230179</v>
      </c>
      <c r="G2922" s="14">
        <v>206.62231065678154</v>
      </c>
      <c r="H2922" s="14">
        <v>253.23557700259371</v>
      </c>
      <c r="I2922" s="14">
        <v>254.75494808671888</v>
      </c>
      <c r="J2922" s="14">
        <v>255.93143456995941</v>
      </c>
    </row>
    <row r="2923" spans="1:10" ht="15.75" x14ac:dyDescent="0.5">
      <c r="A2923" s="13" t="s">
        <v>387</v>
      </c>
      <c r="B2923" s="13" t="s">
        <v>415</v>
      </c>
      <c r="C2923" s="13" t="s">
        <v>400</v>
      </c>
      <c r="D2923" s="14">
        <v>440.53124483255567</v>
      </c>
      <c r="E2923" s="14">
        <v>873.81161417244311</v>
      </c>
      <c r="F2923" s="14">
        <v>1349.0399729676806</v>
      </c>
      <c r="G2923" s="14">
        <v>1422.3890411405687</v>
      </c>
      <c r="H2923" s="14">
        <v>1617.8912221698363</v>
      </c>
      <c r="I2923" s="14">
        <v>2131.1092781582392</v>
      </c>
      <c r="J2923" s="14">
        <v>3025.7554246031204</v>
      </c>
    </row>
    <row r="2924" spans="1:10" ht="15.75" x14ac:dyDescent="0.5">
      <c r="A2924" s="13" t="s">
        <v>387</v>
      </c>
      <c r="B2924" s="13" t="s">
        <v>416</v>
      </c>
      <c r="C2924" s="13" t="s">
        <v>400</v>
      </c>
      <c r="D2924" s="14" t="s">
        <v>250</v>
      </c>
      <c r="E2924" s="14">
        <v>70.934498682900738</v>
      </c>
      <c r="F2924" s="14">
        <v>100.19546122793699</v>
      </c>
      <c r="G2924" s="14">
        <v>127.69344447727372</v>
      </c>
      <c r="H2924" s="14">
        <v>145.88323771792341</v>
      </c>
      <c r="I2924" s="14">
        <v>165.77906731373227</v>
      </c>
      <c r="J2924" s="14">
        <v>186.28657305490805</v>
      </c>
    </row>
    <row r="2925" spans="1:10" ht="15.75" x14ac:dyDescent="0.5">
      <c r="A2925" s="13" t="s">
        <v>387</v>
      </c>
      <c r="B2925" s="13" t="s">
        <v>417</v>
      </c>
      <c r="C2925" s="13" t="s">
        <v>400</v>
      </c>
      <c r="D2925" s="14">
        <v>187.487096334087</v>
      </c>
      <c r="E2925" s="14">
        <v>298.36286233429843</v>
      </c>
      <c r="F2925" s="14">
        <v>340.20645740290263</v>
      </c>
      <c r="G2925" s="14">
        <v>494.67475877303139</v>
      </c>
      <c r="H2925" s="14">
        <v>1223.0547802014719</v>
      </c>
      <c r="I2925" s="14">
        <v>1997.8921434562985</v>
      </c>
      <c r="J2925" s="14">
        <v>3124.4889798353306</v>
      </c>
    </row>
    <row r="2926" spans="1:10" ht="15.75" x14ac:dyDescent="0.5">
      <c r="A2926" s="13" t="s">
        <v>387</v>
      </c>
      <c r="B2926" s="13" t="s">
        <v>418</v>
      </c>
      <c r="C2926" s="13" t="s">
        <v>400</v>
      </c>
      <c r="D2926" s="14">
        <v>3.1841751731019534</v>
      </c>
      <c r="E2926" s="14">
        <v>3.1841751731019534</v>
      </c>
      <c r="F2926" s="14">
        <v>3.1841751731019534</v>
      </c>
      <c r="G2926" s="14">
        <v>3.1841751731019534</v>
      </c>
      <c r="H2926" s="14">
        <v>3.1841751731019534</v>
      </c>
      <c r="I2926" s="14">
        <v>3.184175173101953</v>
      </c>
      <c r="J2926" s="14">
        <v>3.1841751731019534</v>
      </c>
    </row>
    <row r="2927" spans="1:10" ht="15.75" x14ac:dyDescent="0.5">
      <c r="A2927" s="13" t="s">
        <v>387</v>
      </c>
      <c r="B2927" s="13" t="s">
        <v>419</v>
      </c>
      <c r="C2927" s="13" t="s">
        <v>400</v>
      </c>
      <c r="D2927" s="14">
        <v>0.54465920264079504</v>
      </c>
      <c r="E2927" s="14">
        <v>8.8146215553507261</v>
      </c>
      <c r="F2927" s="14">
        <v>20.823863483767592</v>
      </c>
      <c r="G2927" s="14">
        <v>64.146510636659954</v>
      </c>
      <c r="H2927" s="14">
        <v>188.82127650889157</v>
      </c>
      <c r="I2927" s="14">
        <v>552.6082664900797</v>
      </c>
      <c r="J2927" s="14">
        <v>1664.81478862729</v>
      </c>
    </row>
    <row r="2928" spans="1:10" ht="15.75" x14ac:dyDescent="0.5">
      <c r="A2928" s="13" t="s">
        <v>387</v>
      </c>
      <c r="B2928" s="13" t="s">
        <v>420</v>
      </c>
      <c r="C2928" s="13" t="s">
        <v>400</v>
      </c>
      <c r="D2928" s="14">
        <v>-13.987252957808423</v>
      </c>
      <c r="E2928" s="14">
        <v>-13.900702961391094</v>
      </c>
      <c r="F2928" s="14">
        <v>-13.226031773917821</v>
      </c>
      <c r="G2928" s="14">
        <v>-11.941786215664042</v>
      </c>
      <c r="H2928" s="14">
        <v>-12.958528149095645</v>
      </c>
      <c r="I2928" s="14">
        <v>-15.029810200221132</v>
      </c>
      <c r="J2928" s="14">
        <v>-15.343948748153434</v>
      </c>
    </row>
    <row r="2929" spans="1:10" ht="15.75" x14ac:dyDescent="0.5">
      <c r="A2929" s="13" t="s">
        <v>388</v>
      </c>
      <c r="B2929" s="13" t="s">
        <v>399</v>
      </c>
      <c r="C2929" s="13" t="s">
        <v>400</v>
      </c>
      <c r="D2929" s="14">
        <v>7.2499064625597889</v>
      </c>
      <c r="E2929" s="14">
        <v>0.20898282707146976</v>
      </c>
      <c r="F2929" s="14">
        <v>0.51246000000000125</v>
      </c>
      <c r="G2929" s="14">
        <v>0.39215308029197149</v>
      </c>
      <c r="H2929" s="14">
        <v>0.31651833354918574</v>
      </c>
      <c r="I2929" s="14">
        <v>1.2434531033476304</v>
      </c>
      <c r="J2929" s="14">
        <v>1.7415284272549316</v>
      </c>
    </row>
    <row r="2930" spans="1:10" ht="15.75" x14ac:dyDescent="0.5">
      <c r="A2930" s="13" t="s">
        <v>388</v>
      </c>
      <c r="B2930" s="13" t="s">
        <v>401</v>
      </c>
      <c r="C2930" s="13" t="s">
        <v>400</v>
      </c>
      <c r="D2930" s="14" t="s">
        <v>250</v>
      </c>
      <c r="E2930" s="14" t="s">
        <v>250</v>
      </c>
      <c r="F2930" s="14">
        <v>110.2504829768009</v>
      </c>
      <c r="G2930" s="14">
        <v>110.25048297680091</v>
      </c>
      <c r="H2930" s="14">
        <v>26.530626981761152</v>
      </c>
      <c r="I2930" s="14">
        <v>19.363726953760171</v>
      </c>
      <c r="J2930" s="14" t="s">
        <v>250</v>
      </c>
    </row>
    <row r="2931" spans="1:10" ht="15.75" x14ac:dyDescent="0.5">
      <c r="A2931" s="13" t="s">
        <v>388</v>
      </c>
      <c r="B2931" s="13" t="s">
        <v>402</v>
      </c>
      <c r="C2931" s="13" t="s">
        <v>400</v>
      </c>
      <c r="D2931" s="14">
        <v>1072.9916742877465</v>
      </c>
      <c r="E2931" s="14">
        <v>275.98439192281211</v>
      </c>
      <c r="F2931" s="14">
        <v>136.61366880794768</v>
      </c>
      <c r="G2931" s="14">
        <v>95.972616799863786</v>
      </c>
      <c r="H2931" s="14">
        <v>78.033836636913335</v>
      </c>
      <c r="I2931" s="14">
        <v>16.189327274272401</v>
      </c>
      <c r="J2931" s="14" t="s">
        <v>250</v>
      </c>
    </row>
    <row r="2932" spans="1:10" ht="15.75" x14ac:dyDescent="0.5">
      <c r="A2932" s="13" t="s">
        <v>388</v>
      </c>
      <c r="B2932" s="13" t="s">
        <v>403</v>
      </c>
      <c r="C2932" s="13" t="s">
        <v>400</v>
      </c>
      <c r="D2932" s="14" t="s">
        <v>250</v>
      </c>
      <c r="E2932" s="14" t="s">
        <v>250</v>
      </c>
      <c r="F2932" s="14">
        <v>282.99644228936052</v>
      </c>
      <c r="G2932" s="14">
        <v>282.99644228936046</v>
      </c>
      <c r="H2932" s="14">
        <v>58.756971668646486</v>
      </c>
      <c r="I2932" s="14">
        <v>106.7229270086044</v>
      </c>
      <c r="J2932" s="14" t="s">
        <v>250</v>
      </c>
    </row>
    <row r="2933" spans="1:10" ht="15.75" x14ac:dyDescent="0.5">
      <c r="A2933" s="13" t="s">
        <v>388</v>
      </c>
      <c r="B2933" s="13" t="s">
        <v>404</v>
      </c>
      <c r="C2933" s="13" t="s">
        <v>400</v>
      </c>
      <c r="D2933" s="14" t="s">
        <v>250</v>
      </c>
      <c r="E2933" s="14" t="s">
        <v>250</v>
      </c>
      <c r="F2933" s="14" t="s">
        <v>250</v>
      </c>
      <c r="G2933" s="14" t="s">
        <v>250</v>
      </c>
      <c r="H2933" s="14" t="s">
        <v>250</v>
      </c>
      <c r="I2933" s="14">
        <v>0.33069896914528529</v>
      </c>
      <c r="J2933" s="14">
        <v>0.11325680858600132</v>
      </c>
    </row>
    <row r="2934" spans="1:10" ht="15.75" x14ac:dyDescent="0.5">
      <c r="A2934" s="13" t="s">
        <v>388</v>
      </c>
      <c r="B2934" s="13" t="s">
        <v>421</v>
      </c>
      <c r="C2934" s="13" t="s">
        <v>400</v>
      </c>
      <c r="D2934" s="14" t="s">
        <v>250</v>
      </c>
      <c r="E2934" s="14" t="s">
        <v>250</v>
      </c>
      <c r="F2934" s="14" t="s">
        <v>250</v>
      </c>
      <c r="G2934" s="14">
        <v>537.2172304407128</v>
      </c>
      <c r="H2934" s="14">
        <v>1447.473313971607</v>
      </c>
      <c r="I2934" s="14">
        <v>1446.9183165172501</v>
      </c>
      <c r="J2934" s="14">
        <v>754.27152783825204</v>
      </c>
    </row>
    <row r="2935" spans="1:10" ht="15.75" x14ac:dyDescent="0.5">
      <c r="A2935" s="13" t="s">
        <v>388</v>
      </c>
      <c r="B2935" s="13" t="s">
        <v>405</v>
      </c>
      <c r="C2935" s="13" t="s">
        <v>400</v>
      </c>
      <c r="D2935" s="14">
        <v>1259.389129088994</v>
      </c>
      <c r="E2935" s="14">
        <v>1468.8426282342489</v>
      </c>
      <c r="F2935" s="14">
        <v>1305.8052673409736</v>
      </c>
      <c r="G2935" s="14">
        <v>1313.3977379806358</v>
      </c>
      <c r="H2935" s="14">
        <v>921.5912321715756</v>
      </c>
      <c r="I2935" s="14">
        <v>610.42368678562934</v>
      </c>
      <c r="J2935" s="14">
        <v>265.13701587400908</v>
      </c>
    </row>
    <row r="2936" spans="1:10" ht="15.75" x14ac:dyDescent="0.5">
      <c r="A2936" s="13" t="s">
        <v>388</v>
      </c>
      <c r="B2936" s="13" t="s">
        <v>406</v>
      </c>
      <c r="C2936" s="13" t="s">
        <v>400</v>
      </c>
      <c r="D2936" s="14">
        <v>23.479196814299339</v>
      </c>
      <c r="E2936" s="14">
        <v>30.148029632046864</v>
      </c>
      <c r="F2936" s="14">
        <v>43.846455283038537</v>
      </c>
      <c r="G2936" s="14">
        <v>47.273116491751836</v>
      </c>
      <c r="H2936" s="14">
        <v>48.556339069929912</v>
      </c>
      <c r="I2936" s="14">
        <v>45.579013926212411</v>
      </c>
      <c r="J2936" s="14">
        <v>38.516283406286007</v>
      </c>
    </row>
    <row r="2937" spans="1:10" ht="15.75" x14ac:dyDescent="0.5">
      <c r="A2937" s="13" t="s">
        <v>388</v>
      </c>
      <c r="B2937" s="13" t="s">
        <v>407</v>
      </c>
      <c r="C2937" s="13" t="s">
        <v>400</v>
      </c>
      <c r="D2937" s="14" t="s">
        <v>250</v>
      </c>
      <c r="E2937" s="14">
        <v>98.43089865263984</v>
      </c>
      <c r="F2937" s="14">
        <v>52.031911731241813</v>
      </c>
      <c r="G2937" s="14">
        <v>140.3113039247591</v>
      </c>
      <c r="H2937" s="14">
        <v>110.29149503512839</v>
      </c>
      <c r="I2937" s="14">
        <v>78.258792627600087</v>
      </c>
      <c r="J2937" s="14">
        <v>16.922885306086858</v>
      </c>
    </row>
    <row r="2938" spans="1:10" ht="15.75" x14ac:dyDescent="0.5">
      <c r="A2938" s="13" t="s">
        <v>388</v>
      </c>
      <c r="B2938" s="13" t="s">
        <v>408</v>
      </c>
      <c r="C2938" s="13" t="s">
        <v>400</v>
      </c>
      <c r="D2938" s="14">
        <v>46.892290321001219</v>
      </c>
      <c r="E2938" s="14">
        <v>30.143124964880563</v>
      </c>
      <c r="F2938" s="14">
        <v>22.600026916306511</v>
      </c>
      <c r="G2938" s="14">
        <v>38.682740419022295</v>
      </c>
      <c r="H2938" s="14">
        <v>37.06904415891924</v>
      </c>
      <c r="I2938" s="14">
        <v>40.632858253898085</v>
      </c>
      <c r="J2938" s="14">
        <v>41.494582796727457</v>
      </c>
    </row>
    <row r="2939" spans="1:10" ht="15.75" x14ac:dyDescent="0.5">
      <c r="A2939" s="13" t="s">
        <v>388</v>
      </c>
      <c r="B2939" s="13" t="s">
        <v>409</v>
      </c>
      <c r="C2939" s="13" t="s">
        <v>400</v>
      </c>
      <c r="D2939" s="14">
        <v>18.365704270000037</v>
      </c>
      <c r="E2939" s="14">
        <v>18.365704270000027</v>
      </c>
      <c r="F2939" s="14">
        <v>18.365704270000034</v>
      </c>
      <c r="G2939" s="14">
        <v>18.36570427000003</v>
      </c>
      <c r="H2939" s="14">
        <v>18.36570427000003</v>
      </c>
      <c r="I2939" s="14">
        <v>18.365704270000037</v>
      </c>
      <c r="J2939" s="14">
        <v>17.669953192394196</v>
      </c>
    </row>
    <row r="2940" spans="1:10" ht="15.75" x14ac:dyDescent="0.5">
      <c r="A2940" s="13" t="s">
        <v>388</v>
      </c>
      <c r="B2940" s="13" t="s">
        <v>410</v>
      </c>
      <c r="C2940" s="13" t="s">
        <v>400</v>
      </c>
      <c r="D2940" s="14">
        <v>245.79356253202207</v>
      </c>
      <c r="E2940" s="14">
        <v>244.5640258172736</v>
      </c>
      <c r="F2940" s="14">
        <v>246.00312601468548</v>
      </c>
      <c r="G2940" s="14">
        <v>246.16997594138752</v>
      </c>
      <c r="H2940" s="14">
        <v>246.16997594138741</v>
      </c>
      <c r="I2940" s="14">
        <v>246.16997594139693</v>
      </c>
      <c r="J2940" s="14">
        <v>246.16997594171733</v>
      </c>
    </row>
    <row r="2941" spans="1:10" ht="15.75" x14ac:dyDescent="0.5">
      <c r="A2941" s="13" t="s">
        <v>388</v>
      </c>
      <c r="B2941" s="13" t="s">
        <v>411</v>
      </c>
      <c r="C2941" s="13" t="s">
        <v>400</v>
      </c>
      <c r="D2941" s="14">
        <v>7.1394000000000171</v>
      </c>
      <c r="E2941" s="14">
        <v>3.5593489051094975</v>
      </c>
      <c r="F2941" s="14" t="s">
        <v>250</v>
      </c>
      <c r="G2941" s="14" t="s">
        <v>250</v>
      </c>
      <c r="H2941" s="14" t="s">
        <v>250</v>
      </c>
      <c r="I2941" s="14" t="s">
        <v>250</v>
      </c>
      <c r="J2941" s="14" t="s">
        <v>250</v>
      </c>
    </row>
    <row r="2942" spans="1:10" ht="15.75" x14ac:dyDescent="0.5">
      <c r="A2942" s="13" t="s">
        <v>388</v>
      </c>
      <c r="B2942" s="13" t="s">
        <v>412</v>
      </c>
      <c r="C2942" s="13" t="s">
        <v>400</v>
      </c>
      <c r="D2942" s="14">
        <v>760.72545968400152</v>
      </c>
      <c r="E2942" s="14">
        <v>743.82635769111471</v>
      </c>
      <c r="F2942" s="14">
        <v>620.77472669609801</v>
      </c>
      <c r="G2942" s="14">
        <v>686.00014612204393</v>
      </c>
      <c r="H2942" s="14">
        <v>704.85742860614971</v>
      </c>
      <c r="I2942" s="14">
        <v>704.86510408273716</v>
      </c>
      <c r="J2942" s="14">
        <v>709.55564332212043</v>
      </c>
    </row>
    <row r="2943" spans="1:10" ht="15.75" x14ac:dyDescent="0.5">
      <c r="A2943" s="13" t="s">
        <v>388</v>
      </c>
      <c r="B2943" s="13" t="s">
        <v>413</v>
      </c>
      <c r="C2943" s="13" t="s">
        <v>400</v>
      </c>
      <c r="D2943" s="14">
        <v>23.702927619886133</v>
      </c>
      <c r="E2943" s="14">
        <v>28.303466791632705</v>
      </c>
      <c r="F2943" s="14">
        <v>10.014031274746229</v>
      </c>
      <c r="G2943" s="14">
        <v>3.6284558251249135</v>
      </c>
      <c r="H2943" s="14">
        <v>1.5174514973011679</v>
      </c>
      <c r="I2943" s="14">
        <v>0.65573434834383604</v>
      </c>
      <c r="J2943" s="14" t="s">
        <v>250</v>
      </c>
    </row>
    <row r="2944" spans="1:10" ht="15.75" x14ac:dyDescent="0.5">
      <c r="A2944" s="13" t="s">
        <v>388</v>
      </c>
      <c r="B2944" s="13" t="s">
        <v>414</v>
      </c>
      <c r="C2944" s="13" t="s">
        <v>400</v>
      </c>
      <c r="D2944" s="14">
        <v>0.68039077051095032</v>
      </c>
      <c r="E2944" s="14">
        <v>24.430349541099531</v>
      </c>
      <c r="F2944" s="14">
        <v>100.42141203275106</v>
      </c>
      <c r="G2944" s="14">
        <v>206.62262807457213</v>
      </c>
      <c r="H2944" s="14">
        <v>253.23589726473818</v>
      </c>
      <c r="I2944" s="14">
        <v>254.75527046699926</v>
      </c>
      <c r="J2944" s="14">
        <v>255.93175858423024</v>
      </c>
    </row>
    <row r="2945" spans="1:10" ht="15.75" x14ac:dyDescent="0.5">
      <c r="A2945" s="13" t="s">
        <v>388</v>
      </c>
      <c r="B2945" s="13" t="s">
        <v>415</v>
      </c>
      <c r="C2945" s="13" t="s">
        <v>400</v>
      </c>
      <c r="D2945" s="14">
        <v>440.53124483255561</v>
      </c>
      <c r="E2945" s="14">
        <v>873.81161417244346</v>
      </c>
      <c r="F2945" s="14">
        <v>1349.0179654765191</v>
      </c>
      <c r="G2945" s="14">
        <v>1422.5574471956929</v>
      </c>
      <c r="H2945" s="14">
        <v>1619.0748666164318</v>
      </c>
      <c r="I2945" s="14">
        <v>2129.5909758266212</v>
      </c>
      <c r="J2945" s="14">
        <v>3028.1761973783987</v>
      </c>
    </row>
    <row r="2946" spans="1:10" ht="15.75" x14ac:dyDescent="0.5">
      <c r="A2946" s="13" t="s">
        <v>388</v>
      </c>
      <c r="B2946" s="13" t="s">
        <v>416</v>
      </c>
      <c r="C2946" s="13" t="s">
        <v>400</v>
      </c>
      <c r="D2946" s="14" t="s">
        <v>250</v>
      </c>
      <c r="E2946" s="14">
        <v>70.934498682900738</v>
      </c>
      <c r="F2946" s="14">
        <v>100.19546122793705</v>
      </c>
      <c r="G2946" s="14">
        <v>127.6934444772737</v>
      </c>
      <c r="H2946" s="14">
        <v>145.88323771792352</v>
      </c>
      <c r="I2946" s="14">
        <v>165.77906731373224</v>
      </c>
      <c r="J2946" s="14">
        <v>186.28657305490816</v>
      </c>
    </row>
    <row r="2947" spans="1:10" ht="15.75" x14ac:dyDescent="0.5">
      <c r="A2947" s="13" t="s">
        <v>388</v>
      </c>
      <c r="B2947" s="13" t="s">
        <v>417</v>
      </c>
      <c r="C2947" s="13" t="s">
        <v>400</v>
      </c>
      <c r="D2947" s="14">
        <v>187.48709633408691</v>
      </c>
      <c r="E2947" s="14">
        <v>298.36286233429843</v>
      </c>
      <c r="F2947" s="14">
        <v>340.2064574029028</v>
      </c>
      <c r="G2947" s="14">
        <v>494.85697293427791</v>
      </c>
      <c r="H2947" s="14">
        <v>1222.624499128407</v>
      </c>
      <c r="I2947" s="14">
        <v>1997.8827627689634</v>
      </c>
      <c r="J2947" s="14">
        <v>3123.2778759110629</v>
      </c>
    </row>
    <row r="2948" spans="1:10" ht="15.75" x14ac:dyDescent="0.5">
      <c r="A2948" s="13" t="s">
        <v>388</v>
      </c>
      <c r="B2948" s="13" t="s">
        <v>418</v>
      </c>
      <c r="C2948" s="13" t="s">
        <v>400</v>
      </c>
      <c r="D2948" s="14">
        <v>3.184175173101953</v>
      </c>
      <c r="E2948" s="14">
        <v>3.184175173101953</v>
      </c>
      <c r="F2948" s="14">
        <v>3.1841751731019534</v>
      </c>
      <c r="G2948" s="14">
        <v>3.1841751731019534</v>
      </c>
      <c r="H2948" s="14">
        <v>3.184175173101953</v>
      </c>
      <c r="I2948" s="14">
        <v>3.184175173101953</v>
      </c>
      <c r="J2948" s="14">
        <v>3.1841751731019534</v>
      </c>
    </row>
    <row r="2949" spans="1:10" ht="15.75" x14ac:dyDescent="0.5">
      <c r="A2949" s="13" t="s">
        <v>388</v>
      </c>
      <c r="B2949" s="13" t="s">
        <v>419</v>
      </c>
      <c r="C2949" s="13" t="s">
        <v>400</v>
      </c>
      <c r="D2949" s="14">
        <v>0.54465920264079493</v>
      </c>
      <c r="E2949" s="14">
        <v>8.8981354715286951</v>
      </c>
      <c r="F2949" s="14">
        <v>20.784218303835189</v>
      </c>
      <c r="G2949" s="14">
        <v>64.039173592862497</v>
      </c>
      <c r="H2949" s="14">
        <v>188.93758683644455</v>
      </c>
      <c r="I2949" s="14">
        <v>552.05523608536373</v>
      </c>
      <c r="J2949" s="14">
        <v>1652.2103098880032</v>
      </c>
    </row>
    <row r="2950" spans="1:10" ht="15.75" x14ac:dyDescent="0.5">
      <c r="A2950" s="13" t="s">
        <v>388</v>
      </c>
      <c r="B2950" s="13" t="s">
        <v>420</v>
      </c>
      <c r="C2950" s="13" t="s">
        <v>400</v>
      </c>
      <c r="D2950" s="14">
        <v>-13.987252957808385</v>
      </c>
      <c r="E2950" s="14">
        <v>-13.903239996656135</v>
      </c>
      <c r="F2950" s="14">
        <v>-13.235791748107179</v>
      </c>
      <c r="G2950" s="14">
        <v>-11.920843921186716</v>
      </c>
      <c r="H2950" s="14">
        <v>-12.924933778890404</v>
      </c>
      <c r="I2950" s="14">
        <v>-14.957862421606565</v>
      </c>
      <c r="J2950" s="14">
        <v>-15.096104825152437</v>
      </c>
    </row>
    <row r="2951" spans="1:10" ht="15.75" x14ac:dyDescent="0.5">
      <c r="A2951" s="13" t="s">
        <v>389</v>
      </c>
      <c r="B2951" s="13" t="s">
        <v>399</v>
      </c>
      <c r="C2951" s="13" t="s">
        <v>400</v>
      </c>
      <c r="D2951" s="14">
        <v>7.2499064625597889</v>
      </c>
      <c r="E2951" s="14">
        <v>0.20898282707146976</v>
      </c>
      <c r="F2951" s="14">
        <v>0.51246000000000114</v>
      </c>
      <c r="G2951" s="14">
        <v>0.37091308029197145</v>
      </c>
      <c r="H2951" s="14">
        <v>0.1374070072992703</v>
      </c>
      <c r="I2951" s="14">
        <v>0.69224067621455698</v>
      </c>
      <c r="J2951" s="14">
        <v>0.52804663707946597</v>
      </c>
    </row>
    <row r="2952" spans="1:10" ht="15.75" x14ac:dyDescent="0.5">
      <c r="A2952" s="13" t="s">
        <v>389</v>
      </c>
      <c r="B2952" s="13" t="s">
        <v>401</v>
      </c>
      <c r="C2952" s="13" t="s">
        <v>400</v>
      </c>
      <c r="D2952" s="14" t="s">
        <v>250</v>
      </c>
      <c r="E2952" s="14" t="s">
        <v>250</v>
      </c>
      <c r="F2952" s="14">
        <v>109.92836002072502</v>
      </c>
      <c r="G2952" s="14">
        <v>109.92836002072499</v>
      </c>
      <c r="H2952" s="14">
        <v>26.779958122015756</v>
      </c>
      <c r="I2952" s="14">
        <v>20.498030477572343</v>
      </c>
      <c r="J2952" s="14" t="s">
        <v>250</v>
      </c>
    </row>
    <row r="2953" spans="1:10" ht="15.75" x14ac:dyDescent="0.5">
      <c r="A2953" s="13" t="s">
        <v>389</v>
      </c>
      <c r="B2953" s="13" t="s">
        <v>402</v>
      </c>
      <c r="C2953" s="13" t="s">
        <v>400</v>
      </c>
      <c r="D2953" s="14">
        <v>1072.991674287746</v>
      </c>
      <c r="E2953" s="14">
        <v>275.79413583827869</v>
      </c>
      <c r="F2953" s="14">
        <v>134.81654452482695</v>
      </c>
      <c r="G2953" s="14">
        <v>93.116208155125307</v>
      </c>
      <c r="H2953" s="14">
        <v>74.789870991537541</v>
      </c>
      <c r="I2953" s="14">
        <v>34.987261106150584</v>
      </c>
      <c r="J2953" s="14" t="s">
        <v>250</v>
      </c>
    </row>
    <row r="2954" spans="1:10" ht="15.75" x14ac:dyDescent="0.5">
      <c r="A2954" s="13" t="s">
        <v>389</v>
      </c>
      <c r="B2954" s="13" t="s">
        <v>403</v>
      </c>
      <c r="C2954" s="13" t="s">
        <v>400</v>
      </c>
      <c r="D2954" s="14" t="s">
        <v>250</v>
      </c>
      <c r="E2954" s="14" t="s">
        <v>250</v>
      </c>
      <c r="F2954" s="14">
        <v>302.87685035003483</v>
      </c>
      <c r="G2954" s="14">
        <v>302.87685035003506</v>
      </c>
      <c r="H2954" s="14">
        <v>63.402187264820284</v>
      </c>
      <c r="I2954" s="14">
        <v>82.63339864392124</v>
      </c>
      <c r="J2954" s="14" t="s">
        <v>250</v>
      </c>
    </row>
    <row r="2955" spans="1:10" ht="15.75" x14ac:dyDescent="0.5">
      <c r="A2955" s="13" t="s">
        <v>389</v>
      </c>
      <c r="B2955" s="13" t="s">
        <v>404</v>
      </c>
      <c r="C2955" s="13" t="s">
        <v>400</v>
      </c>
      <c r="D2955" s="14" t="s">
        <v>250</v>
      </c>
      <c r="E2955" s="14" t="s">
        <v>250</v>
      </c>
      <c r="F2955" s="14" t="s">
        <v>250</v>
      </c>
      <c r="G2955" s="14" t="s">
        <v>250</v>
      </c>
      <c r="H2955" s="14" t="s">
        <v>250</v>
      </c>
      <c r="I2955" s="14">
        <v>0.33069896914528535</v>
      </c>
      <c r="J2955" s="14">
        <v>1.5951960000000032</v>
      </c>
    </row>
    <row r="2956" spans="1:10" ht="15.75" x14ac:dyDescent="0.5">
      <c r="A2956" s="13" t="s">
        <v>389</v>
      </c>
      <c r="B2956" s="13" t="s">
        <v>421</v>
      </c>
      <c r="C2956" s="13" t="s">
        <v>400</v>
      </c>
      <c r="D2956" s="14" t="s">
        <v>250</v>
      </c>
      <c r="E2956" s="14" t="s">
        <v>250</v>
      </c>
      <c r="F2956" s="14" t="s">
        <v>250</v>
      </c>
      <c r="G2956" s="14">
        <v>476.83966703178322</v>
      </c>
      <c r="H2956" s="14">
        <v>1285.6110564743578</v>
      </c>
      <c r="I2956" s="14">
        <v>1285.6110564743578</v>
      </c>
      <c r="J2956" s="14">
        <v>208.26149355018336</v>
      </c>
    </row>
    <row r="2957" spans="1:10" ht="15.75" x14ac:dyDescent="0.5">
      <c r="A2957" s="13" t="s">
        <v>389</v>
      </c>
      <c r="B2957" s="13" t="s">
        <v>405</v>
      </c>
      <c r="C2957" s="13" t="s">
        <v>400</v>
      </c>
      <c r="D2957" s="14">
        <v>1259.3891290889953</v>
      </c>
      <c r="E2957" s="14">
        <v>1472.6990983742667</v>
      </c>
      <c r="F2957" s="14">
        <v>1290.336864136236</v>
      </c>
      <c r="G2957" s="14">
        <v>1318.8375501427906</v>
      </c>
      <c r="H2957" s="14">
        <v>929.74093808801126</v>
      </c>
      <c r="I2957" s="14">
        <v>551.23465332356454</v>
      </c>
      <c r="J2957" s="14">
        <v>267.56975978815177</v>
      </c>
    </row>
    <row r="2958" spans="1:10" ht="15.75" x14ac:dyDescent="0.5">
      <c r="A2958" s="13" t="s">
        <v>389</v>
      </c>
      <c r="B2958" s="13" t="s">
        <v>406</v>
      </c>
      <c r="C2958" s="13" t="s">
        <v>400</v>
      </c>
      <c r="D2958" s="14">
        <v>23.479196814299335</v>
      </c>
      <c r="E2958" s="14">
        <v>29.489075874499754</v>
      </c>
      <c r="F2958" s="14">
        <v>44.049972320247988</v>
      </c>
      <c r="G2958" s="14">
        <v>50.092861387494921</v>
      </c>
      <c r="H2958" s="14">
        <v>54.454105923639155</v>
      </c>
      <c r="I2958" s="14">
        <v>51.780680095229286</v>
      </c>
      <c r="J2958" s="14">
        <v>46.062643223858323</v>
      </c>
    </row>
    <row r="2959" spans="1:10" ht="15.75" x14ac:dyDescent="0.5">
      <c r="A2959" s="13" t="s">
        <v>389</v>
      </c>
      <c r="B2959" s="13" t="s">
        <v>407</v>
      </c>
      <c r="C2959" s="13" t="s">
        <v>400</v>
      </c>
      <c r="D2959" s="14" t="s">
        <v>250</v>
      </c>
      <c r="E2959" s="14">
        <v>94.956208310400513</v>
      </c>
      <c r="F2959" s="14">
        <v>51.510902988923483</v>
      </c>
      <c r="G2959" s="14">
        <v>134.42501975619987</v>
      </c>
      <c r="H2959" s="14">
        <v>99.297870110463265</v>
      </c>
      <c r="I2959" s="14">
        <v>28.807121444468446</v>
      </c>
      <c r="J2959" s="14">
        <v>12.938402777777799</v>
      </c>
    </row>
    <row r="2960" spans="1:10" ht="15.75" x14ac:dyDescent="0.5">
      <c r="A2960" s="13" t="s">
        <v>389</v>
      </c>
      <c r="B2960" s="13" t="s">
        <v>408</v>
      </c>
      <c r="C2960" s="13" t="s">
        <v>400</v>
      </c>
      <c r="D2960" s="14">
        <v>46.892290321001241</v>
      </c>
      <c r="E2960" s="14">
        <v>30.157722210106677</v>
      </c>
      <c r="F2960" s="14">
        <v>22.828250038460304</v>
      </c>
      <c r="G2960" s="14">
        <v>39.748892869270691</v>
      </c>
      <c r="H2960" s="14">
        <v>38.739939688303323</v>
      </c>
      <c r="I2960" s="14">
        <v>37.557755051392299</v>
      </c>
      <c r="J2960" s="14">
        <v>36.597099766423433</v>
      </c>
    </row>
    <row r="2961" spans="1:10" ht="15.75" x14ac:dyDescent="0.5">
      <c r="A2961" s="13" t="s">
        <v>389</v>
      </c>
      <c r="B2961" s="13" t="s">
        <v>409</v>
      </c>
      <c r="C2961" s="13" t="s">
        <v>400</v>
      </c>
      <c r="D2961" s="14">
        <v>18.365704270000034</v>
      </c>
      <c r="E2961" s="14">
        <v>18.365704270000037</v>
      </c>
      <c r="F2961" s="14">
        <v>18.36570427000003</v>
      </c>
      <c r="G2961" s="14">
        <v>18.365704270000034</v>
      </c>
      <c r="H2961" s="14">
        <v>18.365704270000034</v>
      </c>
      <c r="I2961" s="14">
        <v>18.365704270000037</v>
      </c>
      <c r="J2961" s="14">
        <v>18.145774039109522</v>
      </c>
    </row>
    <row r="2962" spans="1:10" ht="15.75" x14ac:dyDescent="0.5">
      <c r="A2962" s="13" t="s">
        <v>389</v>
      </c>
      <c r="B2962" s="13" t="s">
        <v>410</v>
      </c>
      <c r="C2962" s="13" t="s">
        <v>400</v>
      </c>
      <c r="D2962" s="14">
        <v>245.79356253202204</v>
      </c>
      <c r="E2962" s="14">
        <v>244.56526355778013</v>
      </c>
      <c r="F2962" s="14">
        <v>246.06878552949857</v>
      </c>
      <c r="G2962" s="14">
        <v>246.16997594148151</v>
      </c>
      <c r="H2962" s="14">
        <v>246.16997594135131</v>
      </c>
      <c r="I2962" s="14">
        <v>246.16722916602228</v>
      </c>
      <c r="J2962" s="14">
        <v>246.16997594203363</v>
      </c>
    </row>
    <row r="2963" spans="1:10" ht="15.75" x14ac:dyDescent="0.5">
      <c r="A2963" s="13" t="s">
        <v>389</v>
      </c>
      <c r="B2963" s="13" t="s">
        <v>411</v>
      </c>
      <c r="C2963" s="13" t="s">
        <v>400</v>
      </c>
      <c r="D2963" s="14">
        <v>7.1394000000000162</v>
      </c>
      <c r="E2963" s="14">
        <v>3.559348905109498</v>
      </c>
      <c r="F2963" s="14" t="s">
        <v>250</v>
      </c>
      <c r="G2963" s="14" t="s">
        <v>250</v>
      </c>
      <c r="H2963" s="14" t="s">
        <v>250</v>
      </c>
      <c r="I2963" s="14" t="s">
        <v>250</v>
      </c>
      <c r="J2963" s="14" t="s">
        <v>250</v>
      </c>
    </row>
    <row r="2964" spans="1:10" ht="15.75" x14ac:dyDescent="0.5">
      <c r="A2964" s="13" t="s">
        <v>389</v>
      </c>
      <c r="B2964" s="13" t="s">
        <v>412</v>
      </c>
      <c r="C2964" s="13" t="s">
        <v>400</v>
      </c>
      <c r="D2964" s="14">
        <v>760.72545968400175</v>
      </c>
      <c r="E2964" s="14">
        <v>744.63918302826346</v>
      </c>
      <c r="F2964" s="14">
        <v>618.5115277513529</v>
      </c>
      <c r="G2964" s="14">
        <v>685.85027670185741</v>
      </c>
      <c r="H2964" s="14">
        <v>928.45420612268776</v>
      </c>
      <c r="I2964" s="14">
        <v>1465.4913161370437</v>
      </c>
      <c r="J2964" s="14">
        <v>2143.1221589787924</v>
      </c>
    </row>
    <row r="2965" spans="1:10" ht="15.75" x14ac:dyDescent="0.5">
      <c r="A2965" s="13" t="s">
        <v>389</v>
      </c>
      <c r="B2965" s="13" t="s">
        <v>413</v>
      </c>
      <c r="C2965" s="13" t="s">
        <v>400</v>
      </c>
      <c r="D2965" s="14">
        <v>23.702927619886136</v>
      </c>
      <c r="E2965" s="14">
        <v>28.09228014691864</v>
      </c>
      <c r="F2965" s="14">
        <v>10.054614581654006</v>
      </c>
      <c r="G2965" s="14">
        <v>3.5990086626518276</v>
      </c>
      <c r="H2965" s="14">
        <v>1.4601726713107381</v>
      </c>
      <c r="I2965" s="14">
        <v>0.48502432495589692</v>
      </c>
      <c r="J2965" s="14" t="s">
        <v>250</v>
      </c>
    </row>
    <row r="2966" spans="1:10" ht="15.75" x14ac:dyDescent="0.5">
      <c r="A2966" s="13" t="s">
        <v>389</v>
      </c>
      <c r="B2966" s="13" t="s">
        <v>414</v>
      </c>
      <c r="C2966" s="13" t="s">
        <v>400</v>
      </c>
      <c r="D2966" s="14">
        <v>0.68039077051095009</v>
      </c>
      <c r="E2966" s="14">
        <v>24.43034958652521</v>
      </c>
      <c r="F2966" s="14">
        <v>100.47500567286379</v>
      </c>
      <c r="G2966" s="14">
        <v>206.66866099382878</v>
      </c>
      <c r="H2966" s="14">
        <v>253.108780005791</v>
      </c>
      <c r="I2966" s="14">
        <v>254.62731248543997</v>
      </c>
      <c r="J2966" s="14">
        <v>255.80315204522736</v>
      </c>
    </row>
    <row r="2967" spans="1:10" ht="15.75" x14ac:dyDescent="0.5">
      <c r="A2967" s="13" t="s">
        <v>389</v>
      </c>
      <c r="B2967" s="13" t="s">
        <v>415</v>
      </c>
      <c r="C2967" s="13" t="s">
        <v>400</v>
      </c>
      <c r="D2967" s="14">
        <v>440.53124483255544</v>
      </c>
      <c r="E2967" s="14">
        <v>873.81161417244334</v>
      </c>
      <c r="F2967" s="14">
        <v>1347.8295157861648</v>
      </c>
      <c r="G2967" s="14">
        <v>1417.6683989248327</v>
      </c>
      <c r="H2967" s="14">
        <v>1565.2890058125731</v>
      </c>
      <c r="I2967" s="14">
        <v>1860.9271083614062</v>
      </c>
      <c r="J2967" s="14">
        <v>2598.9499335519677</v>
      </c>
    </row>
    <row r="2968" spans="1:10" ht="15.75" x14ac:dyDescent="0.5">
      <c r="A2968" s="13" t="s">
        <v>389</v>
      </c>
      <c r="B2968" s="13" t="s">
        <v>416</v>
      </c>
      <c r="C2968" s="13" t="s">
        <v>400</v>
      </c>
      <c r="D2968" s="14" t="s">
        <v>250</v>
      </c>
      <c r="E2968" s="14">
        <v>70.934498682900738</v>
      </c>
      <c r="F2968" s="14">
        <v>100.19546122793703</v>
      </c>
      <c r="G2968" s="14">
        <v>127.69344447727376</v>
      </c>
      <c r="H2968" s="14">
        <v>145.88323771792335</v>
      </c>
      <c r="I2968" s="14">
        <v>165.7790673137323</v>
      </c>
      <c r="J2968" s="14">
        <v>186.28657305490802</v>
      </c>
    </row>
    <row r="2969" spans="1:10" ht="15.75" x14ac:dyDescent="0.5">
      <c r="A2969" s="13" t="s">
        <v>389</v>
      </c>
      <c r="B2969" s="13" t="s">
        <v>417</v>
      </c>
      <c r="C2969" s="13" t="s">
        <v>400</v>
      </c>
      <c r="D2969" s="14">
        <v>187.487096334087</v>
      </c>
      <c r="E2969" s="14">
        <v>298.37485443931138</v>
      </c>
      <c r="F2969" s="14">
        <v>340.20645740290269</v>
      </c>
      <c r="G2969" s="14">
        <v>540.75360952075823</v>
      </c>
      <c r="H2969" s="14">
        <v>1196.4170460735027</v>
      </c>
      <c r="I2969" s="14">
        <v>1738.7732014490427</v>
      </c>
      <c r="J2969" s="14">
        <v>2487.9004622363459</v>
      </c>
    </row>
    <row r="2970" spans="1:10" ht="15.75" x14ac:dyDescent="0.5">
      <c r="A2970" s="13" t="s">
        <v>389</v>
      </c>
      <c r="B2970" s="13" t="s">
        <v>418</v>
      </c>
      <c r="C2970" s="13" t="s">
        <v>400</v>
      </c>
      <c r="D2970" s="14">
        <v>3.1841751731019539</v>
      </c>
      <c r="E2970" s="14">
        <v>3.184175173101953</v>
      </c>
      <c r="F2970" s="14">
        <v>3.1841751731019525</v>
      </c>
      <c r="G2970" s="14">
        <v>3.1841751731019539</v>
      </c>
      <c r="H2970" s="14">
        <v>3.1841751731019534</v>
      </c>
      <c r="I2970" s="14">
        <v>3.1841751731019534</v>
      </c>
      <c r="J2970" s="14">
        <v>3.1841751731019534</v>
      </c>
    </row>
    <row r="2971" spans="1:10" ht="15.75" x14ac:dyDescent="0.5">
      <c r="A2971" s="13" t="s">
        <v>389</v>
      </c>
      <c r="B2971" s="13" t="s">
        <v>419</v>
      </c>
      <c r="C2971" s="13" t="s">
        <v>400</v>
      </c>
      <c r="D2971" s="14">
        <v>0.54465920264079493</v>
      </c>
      <c r="E2971" s="14">
        <v>8.87810338060555</v>
      </c>
      <c r="F2971" s="14">
        <v>20.849811241956665</v>
      </c>
      <c r="G2971" s="14">
        <v>62.668226673989537</v>
      </c>
      <c r="H2971" s="14">
        <v>145.71512630093144</v>
      </c>
      <c r="I2971" s="14">
        <v>334.72950938879791</v>
      </c>
      <c r="J2971" s="14">
        <v>834.77299765976034</v>
      </c>
    </row>
    <row r="2972" spans="1:10" ht="15.75" x14ac:dyDescent="0.5">
      <c r="A2972" s="13" t="s">
        <v>389</v>
      </c>
      <c r="B2972" s="13" t="s">
        <v>420</v>
      </c>
      <c r="C2972" s="13" t="s">
        <v>400</v>
      </c>
      <c r="D2972" s="14">
        <v>-13.987252957808352</v>
      </c>
      <c r="E2972" s="14">
        <v>-13.846737385439756</v>
      </c>
      <c r="F2972" s="14">
        <v>-13.64503577253665</v>
      </c>
      <c r="G2972" s="14">
        <v>-11.675773141795824</v>
      </c>
      <c r="H2972" s="14">
        <v>-12.215225110752218</v>
      </c>
      <c r="I2972" s="14">
        <v>-16.317196004441765</v>
      </c>
      <c r="J2972" s="14">
        <v>-19.048495738676415</v>
      </c>
    </row>
    <row r="2973" spans="1:10" ht="15.75" x14ac:dyDescent="0.5">
      <c r="A2973" s="13" t="s">
        <v>390</v>
      </c>
      <c r="B2973" s="13" t="s">
        <v>399</v>
      </c>
      <c r="C2973" s="13" t="s">
        <v>400</v>
      </c>
      <c r="D2973" s="14">
        <v>7.2499064625597898</v>
      </c>
      <c r="E2973" s="14">
        <v>0.20898282707147087</v>
      </c>
      <c r="F2973" s="14">
        <v>0.51246000000000103</v>
      </c>
      <c r="G2973" s="14">
        <v>0.33375600000000066</v>
      </c>
      <c r="H2973" s="14">
        <v>0.38544443866393158</v>
      </c>
      <c r="I2973" s="14">
        <v>0.95894408759124272</v>
      </c>
      <c r="J2973" s="14">
        <v>1.786971391785388</v>
      </c>
    </row>
    <row r="2974" spans="1:10" ht="15.75" x14ac:dyDescent="0.5">
      <c r="A2974" s="13" t="s">
        <v>390</v>
      </c>
      <c r="B2974" s="13" t="s">
        <v>401</v>
      </c>
      <c r="C2974" s="13" t="s">
        <v>400</v>
      </c>
      <c r="D2974" s="14" t="s">
        <v>250</v>
      </c>
      <c r="E2974" s="14" t="s">
        <v>250</v>
      </c>
      <c r="F2974" s="14">
        <v>100.66780764666372</v>
      </c>
      <c r="G2974" s="14">
        <v>100.66780764666372</v>
      </c>
      <c r="H2974" s="14">
        <v>17.529743978751217</v>
      </c>
      <c r="I2974" s="14">
        <v>11.215311875736349</v>
      </c>
      <c r="J2974" s="14" t="s">
        <v>250</v>
      </c>
    </row>
    <row r="2975" spans="1:10" ht="15.75" x14ac:dyDescent="0.5">
      <c r="A2975" s="13" t="s">
        <v>390</v>
      </c>
      <c r="B2975" s="13" t="s">
        <v>402</v>
      </c>
      <c r="C2975" s="13" t="s">
        <v>400</v>
      </c>
      <c r="D2975" s="14">
        <v>1072.9916742877463</v>
      </c>
      <c r="E2975" s="14">
        <v>276.00766710733609</v>
      </c>
      <c r="F2975" s="14">
        <v>141.51399935034755</v>
      </c>
      <c r="G2975" s="14">
        <v>104.84745545441908</v>
      </c>
      <c r="H2975" s="14">
        <v>94.281079901658899</v>
      </c>
      <c r="I2975" s="14">
        <v>38.172711120979642</v>
      </c>
      <c r="J2975" s="14" t="s">
        <v>250</v>
      </c>
    </row>
    <row r="2976" spans="1:10" ht="15.75" x14ac:dyDescent="0.5">
      <c r="A2976" s="13" t="s">
        <v>390</v>
      </c>
      <c r="B2976" s="13" t="s">
        <v>403</v>
      </c>
      <c r="C2976" s="13" t="s">
        <v>400</v>
      </c>
      <c r="D2976" s="14" t="s">
        <v>250</v>
      </c>
      <c r="E2976" s="14" t="s">
        <v>250</v>
      </c>
      <c r="F2976" s="14">
        <v>133.03325713832749</v>
      </c>
      <c r="G2976" s="14">
        <v>133.03325713832743</v>
      </c>
      <c r="H2976" s="14">
        <v>26.96522987306118</v>
      </c>
      <c r="I2976" s="14">
        <v>32.510770885054306</v>
      </c>
      <c r="J2976" s="14" t="s">
        <v>250</v>
      </c>
    </row>
    <row r="2977" spans="1:10" ht="15.75" x14ac:dyDescent="0.5">
      <c r="A2977" s="13" t="s">
        <v>390</v>
      </c>
      <c r="B2977" s="13" t="s">
        <v>404</v>
      </c>
      <c r="C2977" s="13" t="s">
        <v>400</v>
      </c>
      <c r="D2977" s="14" t="s">
        <v>250</v>
      </c>
      <c r="E2977" s="14" t="s">
        <v>250</v>
      </c>
      <c r="F2977" s="14" t="s">
        <v>250</v>
      </c>
      <c r="G2977" s="14" t="s">
        <v>250</v>
      </c>
      <c r="H2977" s="14" t="s">
        <v>250</v>
      </c>
      <c r="I2977" s="14">
        <v>0.33069896914528535</v>
      </c>
      <c r="J2977" s="14" t="s">
        <v>250</v>
      </c>
    </row>
    <row r="2978" spans="1:10" ht="15.75" x14ac:dyDescent="0.5">
      <c r="A2978" s="13" t="s">
        <v>390</v>
      </c>
      <c r="B2978" s="13" t="s">
        <v>421</v>
      </c>
      <c r="C2978" s="13" t="s">
        <v>400</v>
      </c>
      <c r="D2978" s="14" t="s">
        <v>250</v>
      </c>
      <c r="E2978" s="14" t="s">
        <v>250</v>
      </c>
      <c r="F2978" s="14" t="s">
        <v>250</v>
      </c>
      <c r="G2978" s="14">
        <v>804.89754534780513</v>
      </c>
      <c r="H2978" s="14">
        <v>2161.6705068387591</v>
      </c>
      <c r="I2978" s="14">
        <v>2164.9454643065596</v>
      </c>
      <c r="J2978" s="14">
        <v>1000.2828783791538</v>
      </c>
    </row>
    <row r="2979" spans="1:10" ht="15.75" x14ac:dyDescent="0.5">
      <c r="A2979" s="13" t="s">
        <v>390</v>
      </c>
      <c r="B2979" s="13" t="s">
        <v>405</v>
      </c>
      <c r="C2979" s="13" t="s">
        <v>400</v>
      </c>
      <c r="D2979" s="14">
        <v>1259.3891290889956</v>
      </c>
      <c r="E2979" s="14">
        <v>1470.8079166104862</v>
      </c>
      <c r="F2979" s="14">
        <v>1450.7713071260121</v>
      </c>
      <c r="G2979" s="14">
        <v>1290.4078977662843</v>
      </c>
      <c r="H2979" s="14">
        <v>856.87434906185251</v>
      </c>
      <c r="I2979" s="14">
        <v>530.78176250195872</v>
      </c>
      <c r="J2979" s="14">
        <v>254.995584575637</v>
      </c>
    </row>
    <row r="2980" spans="1:10" ht="15.75" x14ac:dyDescent="0.5">
      <c r="A2980" s="13" t="s">
        <v>390</v>
      </c>
      <c r="B2980" s="13" t="s">
        <v>406</v>
      </c>
      <c r="C2980" s="13" t="s">
        <v>400</v>
      </c>
      <c r="D2980" s="14">
        <v>23.479196814299335</v>
      </c>
      <c r="E2980" s="14">
        <v>30.126246787048601</v>
      </c>
      <c r="F2980" s="14">
        <v>44.37230027829721</v>
      </c>
      <c r="G2980" s="14">
        <v>47.070728773107895</v>
      </c>
      <c r="H2980" s="14">
        <v>47.678760152485857</v>
      </c>
      <c r="I2980" s="14">
        <v>45.148400263265579</v>
      </c>
      <c r="J2980" s="14">
        <v>38.448410509392069</v>
      </c>
    </row>
    <row r="2981" spans="1:10" ht="15.75" x14ac:dyDescent="0.5">
      <c r="A2981" s="13" t="s">
        <v>390</v>
      </c>
      <c r="B2981" s="13" t="s">
        <v>407</v>
      </c>
      <c r="C2981" s="13" t="s">
        <v>400</v>
      </c>
      <c r="D2981" s="14" t="s">
        <v>250</v>
      </c>
      <c r="E2981" s="14">
        <v>97.518559165729741</v>
      </c>
      <c r="F2981" s="14">
        <v>64.052609235422906</v>
      </c>
      <c r="G2981" s="14">
        <v>116.41753160115655</v>
      </c>
      <c r="H2981" s="14">
        <v>65.984988114324949</v>
      </c>
      <c r="I2981" s="14">
        <v>41.226379667034131</v>
      </c>
      <c r="J2981" s="14">
        <v>15.663567645652073</v>
      </c>
    </row>
    <row r="2982" spans="1:10" ht="15.75" x14ac:dyDescent="0.5">
      <c r="A2982" s="13" t="s">
        <v>390</v>
      </c>
      <c r="B2982" s="13" t="s">
        <v>408</v>
      </c>
      <c r="C2982" s="13" t="s">
        <v>400</v>
      </c>
      <c r="D2982" s="14">
        <v>46.892290321001234</v>
      </c>
      <c r="E2982" s="14">
        <v>30.106391920899991</v>
      </c>
      <c r="F2982" s="14">
        <v>22.886292741348907</v>
      </c>
      <c r="G2982" s="14">
        <v>33.050827733204969</v>
      </c>
      <c r="H2982" s="14">
        <v>28.391270879684328</v>
      </c>
      <c r="I2982" s="14">
        <v>38.796259376662029</v>
      </c>
      <c r="J2982" s="14">
        <v>42.12121608629306</v>
      </c>
    </row>
    <row r="2983" spans="1:10" ht="15.75" x14ac:dyDescent="0.5">
      <c r="A2983" s="13" t="s">
        <v>390</v>
      </c>
      <c r="B2983" s="13" t="s">
        <v>409</v>
      </c>
      <c r="C2983" s="13" t="s">
        <v>400</v>
      </c>
      <c r="D2983" s="14">
        <v>18.365704270000037</v>
      </c>
      <c r="E2983" s="14">
        <v>18.365704270000027</v>
      </c>
      <c r="F2983" s="14">
        <v>18.365704270000034</v>
      </c>
      <c r="G2983" s="14">
        <v>18.365704270000037</v>
      </c>
      <c r="H2983" s="14">
        <v>18.36570427000003</v>
      </c>
      <c r="I2983" s="14">
        <v>18.365704270000037</v>
      </c>
      <c r="J2983" s="14">
        <v>17.669953192394196</v>
      </c>
    </row>
    <row r="2984" spans="1:10" ht="15.75" x14ac:dyDescent="0.5">
      <c r="A2984" s="13" t="s">
        <v>390</v>
      </c>
      <c r="B2984" s="13" t="s">
        <v>410</v>
      </c>
      <c r="C2984" s="13" t="s">
        <v>400</v>
      </c>
      <c r="D2984" s="14">
        <v>245.79356253202215</v>
      </c>
      <c r="E2984" s="14">
        <v>244.56553336608067</v>
      </c>
      <c r="F2984" s="14">
        <v>245.93921313067483</v>
      </c>
      <c r="G2984" s="14">
        <v>246.16997594138812</v>
      </c>
      <c r="H2984" s="14">
        <v>246.16997594139067</v>
      </c>
      <c r="I2984" s="14">
        <v>246.16997594139102</v>
      </c>
      <c r="J2984" s="14">
        <v>246.16997594139104</v>
      </c>
    </row>
    <row r="2985" spans="1:10" ht="15.75" x14ac:dyDescent="0.5">
      <c r="A2985" s="13" t="s">
        <v>390</v>
      </c>
      <c r="B2985" s="13" t="s">
        <v>411</v>
      </c>
      <c r="C2985" s="13" t="s">
        <v>400</v>
      </c>
      <c r="D2985" s="14">
        <v>7.1394000000000171</v>
      </c>
      <c r="E2985" s="14">
        <v>3.5593489051094975</v>
      </c>
      <c r="F2985" s="14" t="s">
        <v>250</v>
      </c>
      <c r="G2985" s="14" t="s">
        <v>250</v>
      </c>
      <c r="H2985" s="14" t="s">
        <v>250</v>
      </c>
      <c r="I2985" s="14" t="s">
        <v>250</v>
      </c>
      <c r="J2985" s="14" t="s">
        <v>250</v>
      </c>
    </row>
    <row r="2986" spans="1:10" ht="15.75" x14ac:dyDescent="0.5">
      <c r="A2986" s="13" t="s">
        <v>390</v>
      </c>
      <c r="B2986" s="13" t="s">
        <v>412</v>
      </c>
      <c r="C2986" s="13" t="s">
        <v>400</v>
      </c>
      <c r="D2986" s="14">
        <v>760.72545968400175</v>
      </c>
      <c r="E2986" s="14">
        <v>743.49205094590957</v>
      </c>
      <c r="F2986" s="14">
        <v>614.80264635464641</v>
      </c>
      <c r="G2986" s="14">
        <v>674.55966762978676</v>
      </c>
      <c r="H2986" s="14">
        <v>683.66644182692221</v>
      </c>
      <c r="I2986" s="14">
        <v>683.6664418269221</v>
      </c>
      <c r="J2986" s="14">
        <v>666.77916213235028</v>
      </c>
    </row>
    <row r="2987" spans="1:10" ht="15.75" x14ac:dyDescent="0.5">
      <c r="A2987" s="13" t="s">
        <v>390</v>
      </c>
      <c r="B2987" s="13" t="s">
        <v>413</v>
      </c>
      <c r="C2987" s="13" t="s">
        <v>400</v>
      </c>
      <c r="D2987" s="14">
        <v>23.70292761988614</v>
      </c>
      <c r="E2987" s="14">
        <v>27.988501296582758</v>
      </c>
      <c r="F2987" s="14">
        <v>10.517351694584939</v>
      </c>
      <c r="G2987" s="14">
        <v>4.0357027926916711</v>
      </c>
      <c r="H2987" s="14">
        <v>1.8348362534714164</v>
      </c>
      <c r="I2987" s="14">
        <v>0.711750443681747</v>
      </c>
      <c r="J2987" s="14" t="s">
        <v>250</v>
      </c>
    </row>
    <row r="2988" spans="1:10" ht="15.75" x14ac:dyDescent="0.5">
      <c r="A2988" s="13" t="s">
        <v>390</v>
      </c>
      <c r="B2988" s="13" t="s">
        <v>414</v>
      </c>
      <c r="C2988" s="13" t="s">
        <v>400</v>
      </c>
      <c r="D2988" s="14">
        <v>0.6803907705109502</v>
      </c>
      <c r="E2988" s="14">
        <v>24.43034958652521</v>
      </c>
      <c r="F2988" s="14">
        <v>100.43954524136618</v>
      </c>
      <c r="G2988" s="14">
        <v>206.5710703951641</v>
      </c>
      <c r="H2988" s="14">
        <v>253.01031490605155</v>
      </c>
      <c r="I2988" s="14">
        <v>254.52819616149588</v>
      </c>
      <c r="J2988" s="14">
        <v>255.70353334832538</v>
      </c>
    </row>
    <row r="2989" spans="1:10" ht="15.75" x14ac:dyDescent="0.5">
      <c r="A2989" s="13" t="s">
        <v>390</v>
      </c>
      <c r="B2989" s="13" t="s">
        <v>415</v>
      </c>
      <c r="C2989" s="13" t="s">
        <v>400</v>
      </c>
      <c r="D2989" s="14">
        <v>440.53124483255561</v>
      </c>
      <c r="E2989" s="14">
        <v>873.81161417244346</v>
      </c>
      <c r="F2989" s="14">
        <v>1349.2310976816127</v>
      </c>
      <c r="G2989" s="14">
        <v>1418.5995457166782</v>
      </c>
      <c r="H2989" s="14">
        <v>1517.0256985355493</v>
      </c>
      <c r="I2989" s="14">
        <v>1814.2849126733631</v>
      </c>
      <c r="J2989" s="14">
        <v>2927.6484637065369</v>
      </c>
    </row>
    <row r="2990" spans="1:10" ht="15.75" x14ac:dyDescent="0.5">
      <c r="A2990" s="13" t="s">
        <v>390</v>
      </c>
      <c r="B2990" s="13" t="s">
        <v>416</v>
      </c>
      <c r="C2990" s="13" t="s">
        <v>400</v>
      </c>
      <c r="D2990" s="14" t="s">
        <v>250</v>
      </c>
      <c r="E2990" s="14">
        <v>70.934498682900738</v>
      </c>
      <c r="F2990" s="14">
        <v>100.19546122793702</v>
      </c>
      <c r="G2990" s="14">
        <v>127.69344447727377</v>
      </c>
      <c r="H2990" s="14">
        <v>145.88323771792349</v>
      </c>
      <c r="I2990" s="14">
        <v>165.77906731373236</v>
      </c>
      <c r="J2990" s="14">
        <v>186.28657305490813</v>
      </c>
    </row>
    <row r="2991" spans="1:10" ht="15.75" x14ac:dyDescent="0.5">
      <c r="A2991" s="13" t="s">
        <v>390</v>
      </c>
      <c r="B2991" s="13" t="s">
        <v>417</v>
      </c>
      <c r="C2991" s="13" t="s">
        <v>400</v>
      </c>
      <c r="D2991" s="14">
        <v>187.48709633408691</v>
      </c>
      <c r="E2991" s="14">
        <v>298.36286233429854</v>
      </c>
      <c r="F2991" s="14">
        <v>340.2064574029028</v>
      </c>
      <c r="G2991" s="14">
        <v>453.95921161127438</v>
      </c>
      <c r="H2991" s="14">
        <v>781.64514524049935</v>
      </c>
      <c r="I2991" s="14">
        <v>1779.4325413492863</v>
      </c>
      <c r="J2991" s="14">
        <v>2982.9390109136343</v>
      </c>
    </row>
    <row r="2992" spans="1:10" ht="15.75" x14ac:dyDescent="0.5">
      <c r="A2992" s="13" t="s">
        <v>390</v>
      </c>
      <c r="B2992" s="13" t="s">
        <v>418</v>
      </c>
      <c r="C2992" s="13" t="s">
        <v>400</v>
      </c>
      <c r="D2992" s="14">
        <v>3.1841751731019534</v>
      </c>
      <c r="E2992" s="14">
        <v>3.184175173101953</v>
      </c>
      <c r="F2992" s="14">
        <v>3.184175173101953</v>
      </c>
      <c r="G2992" s="14">
        <v>3.184175173101953</v>
      </c>
      <c r="H2992" s="14">
        <v>3.184175173101953</v>
      </c>
      <c r="I2992" s="14">
        <v>3.1841751731019525</v>
      </c>
      <c r="J2992" s="14">
        <v>3.184175173101953</v>
      </c>
    </row>
    <row r="2993" spans="1:10" ht="15.75" x14ac:dyDescent="0.5">
      <c r="A2993" s="13" t="s">
        <v>390</v>
      </c>
      <c r="B2993" s="13" t="s">
        <v>419</v>
      </c>
      <c r="C2993" s="13" t="s">
        <v>400</v>
      </c>
      <c r="D2993" s="14">
        <v>0.54465920264079504</v>
      </c>
      <c r="E2993" s="14">
        <v>8.8654412529435369</v>
      </c>
      <c r="F2993" s="14">
        <v>21.009083954107933</v>
      </c>
      <c r="G2993" s="14">
        <v>54.808749450019313</v>
      </c>
      <c r="H2993" s="14">
        <v>146.30552059205004</v>
      </c>
      <c r="I2993" s="14">
        <v>420.24934123609177</v>
      </c>
      <c r="J2993" s="14">
        <v>1406.53572721573</v>
      </c>
    </row>
    <row r="2994" spans="1:10" ht="15.75" x14ac:dyDescent="0.5">
      <c r="A2994" s="13" t="s">
        <v>390</v>
      </c>
      <c r="B2994" s="13" t="s">
        <v>420</v>
      </c>
      <c r="C2994" s="13" t="s">
        <v>400</v>
      </c>
      <c r="D2994" s="14">
        <v>-13.987252957808339</v>
      </c>
      <c r="E2994" s="14">
        <v>-14.008758100886595</v>
      </c>
      <c r="F2994" s="14">
        <v>-12.94966102451566</v>
      </c>
      <c r="G2994" s="14">
        <v>-12.140452159471657</v>
      </c>
      <c r="H2994" s="14">
        <v>-15.070506484739163</v>
      </c>
      <c r="I2994" s="14">
        <v>-17.24709416112082</v>
      </c>
      <c r="J2994" s="14">
        <v>-15.103754356425185</v>
      </c>
    </row>
    <row r="2995" spans="1:10" ht="15.75" x14ac:dyDescent="0.5">
      <c r="A2995" s="13" t="s">
        <v>391</v>
      </c>
      <c r="B2995" s="13" t="s">
        <v>399</v>
      </c>
      <c r="C2995" s="13" t="s">
        <v>400</v>
      </c>
      <c r="D2995" s="14">
        <v>7.2499064625597889</v>
      </c>
      <c r="E2995" s="14">
        <v>0.20898282707147081</v>
      </c>
      <c r="F2995" s="14">
        <v>0.51246000000000103</v>
      </c>
      <c r="G2995" s="14">
        <v>0.33375600000000061</v>
      </c>
      <c r="H2995" s="14">
        <v>0.38334649282929845</v>
      </c>
      <c r="I2995" s="14">
        <v>0.95894408759124272</v>
      </c>
      <c r="J2995" s="14">
        <v>1.7888312712067347</v>
      </c>
    </row>
    <row r="2996" spans="1:10" ht="15.75" x14ac:dyDescent="0.5">
      <c r="A2996" s="13" t="s">
        <v>391</v>
      </c>
      <c r="B2996" s="13" t="s">
        <v>401</v>
      </c>
      <c r="C2996" s="13" t="s">
        <v>400</v>
      </c>
      <c r="D2996" s="14" t="s">
        <v>250</v>
      </c>
      <c r="E2996" s="14" t="s">
        <v>250</v>
      </c>
      <c r="F2996" s="14">
        <v>100.63742071633051</v>
      </c>
      <c r="G2996" s="14">
        <v>100.63742071633055</v>
      </c>
      <c r="H2996" s="14">
        <v>17.518702081539118</v>
      </c>
      <c r="I2996" s="14">
        <v>11.213229232178328</v>
      </c>
      <c r="J2996" s="14" t="s">
        <v>250</v>
      </c>
    </row>
    <row r="2997" spans="1:10" ht="15.75" x14ac:dyDescent="0.5">
      <c r="A2997" s="13" t="s">
        <v>391</v>
      </c>
      <c r="B2997" s="13" t="s">
        <v>402</v>
      </c>
      <c r="C2997" s="13" t="s">
        <v>400</v>
      </c>
      <c r="D2997" s="14">
        <v>1072.9916742877467</v>
      </c>
      <c r="E2997" s="14">
        <v>276.20764688445428</v>
      </c>
      <c r="F2997" s="14">
        <v>141.57103361004465</v>
      </c>
      <c r="G2997" s="14">
        <v>104.96264459295683</v>
      </c>
      <c r="H2997" s="14">
        <v>94.143766858251041</v>
      </c>
      <c r="I2997" s="14">
        <v>38.167896085783852</v>
      </c>
      <c r="J2997" s="14" t="s">
        <v>250</v>
      </c>
    </row>
    <row r="2998" spans="1:10" ht="15.75" x14ac:dyDescent="0.5">
      <c r="A2998" s="13" t="s">
        <v>391</v>
      </c>
      <c r="B2998" s="13" t="s">
        <v>403</v>
      </c>
      <c r="C2998" s="13" t="s">
        <v>400</v>
      </c>
      <c r="D2998" s="14" t="s">
        <v>250</v>
      </c>
      <c r="E2998" s="14" t="s">
        <v>250</v>
      </c>
      <c r="F2998" s="14">
        <v>133.56096334056261</v>
      </c>
      <c r="G2998" s="14">
        <v>133.56096334056264</v>
      </c>
      <c r="H2998" s="14">
        <v>27.070899259880946</v>
      </c>
      <c r="I2998" s="14">
        <v>32.96216848382705</v>
      </c>
      <c r="J2998" s="14" t="s">
        <v>250</v>
      </c>
    </row>
    <row r="2999" spans="1:10" ht="15.75" x14ac:dyDescent="0.5">
      <c r="A2999" s="13" t="s">
        <v>391</v>
      </c>
      <c r="B2999" s="13" t="s">
        <v>404</v>
      </c>
      <c r="C2999" s="13" t="s">
        <v>400</v>
      </c>
      <c r="D2999" s="14" t="s">
        <v>250</v>
      </c>
      <c r="E2999" s="14" t="s">
        <v>250</v>
      </c>
      <c r="F2999" s="14" t="s">
        <v>250</v>
      </c>
      <c r="G2999" s="14" t="s">
        <v>250</v>
      </c>
      <c r="H2999" s="14" t="s">
        <v>250</v>
      </c>
      <c r="I2999" s="14">
        <v>0.33069896914528535</v>
      </c>
      <c r="J2999" s="14" t="s">
        <v>250</v>
      </c>
    </row>
    <row r="3000" spans="1:10" ht="15.75" x14ac:dyDescent="0.5">
      <c r="A3000" s="13" t="s">
        <v>391</v>
      </c>
      <c r="B3000" s="13" t="s">
        <v>421</v>
      </c>
      <c r="C3000" s="13" t="s">
        <v>400</v>
      </c>
      <c r="D3000" s="14" t="s">
        <v>250</v>
      </c>
      <c r="E3000" s="14" t="s">
        <v>250</v>
      </c>
      <c r="F3000" s="14" t="s">
        <v>250</v>
      </c>
      <c r="G3000" s="14">
        <v>805.02417478169116</v>
      </c>
      <c r="H3000" s="14">
        <v>2162.387940554991</v>
      </c>
      <c r="I3000" s="14">
        <v>2165.8898929448392</v>
      </c>
      <c r="J3000" s="14">
        <v>999.42762164357487</v>
      </c>
    </row>
    <row r="3001" spans="1:10" ht="15.75" x14ac:dyDescent="0.5">
      <c r="A3001" s="13" t="s">
        <v>391</v>
      </c>
      <c r="B3001" s="13" t="s">
        <v>405</v>
      </c>
      <c r="C3001" s="13" t="s">
        <v>400</v>
      </c>
      <c r="D3001" s="14">
        <v>1259.3891290889949</v>
      </c>
      <c r="E3001" s="14">
        <v>1470.6792208435993</v>
      </c>
      <c r="F3001" s="14">
        <v>1450.4489292860433</v>
      </c>
      <c r="G3001" s="14">
        <v>1290.0561605412261</v>
      </c>
      <c r="H3001" s="14">
        <v>857.08359740716764</v>
      </c>
      <c r="I3001" s="14">
        <v>530.4764701189938</v>
      </c>
      <c r="J3001" s="14">
        <v>254.80364680917114</v>
      </c>
    </row>
    <row r="3002" spans="1:10" ht="15.75" x14ac:dyDescent="0.5">
      <c r="A3002" s="13" t="s">
        <v>391</v>
      </c>
      <c r="B3002" s="13" t="s">
        <v>406</v>
      </c>
      <c r="C3002" s="13" t="s">
        <v>400</v>
      </c>
      <c r="D3002" s="14">
        <v>23.479196814299328</v>
      </c>
      <c r="E3002" s="14">
        <v>30.120210700326595</v>
      </c>
      <c r="F3002" s="14">
        <v>44.373154535654947</v>
      </c>
      <c r="G3002" s="14">
        <v>47.080981637534855</v>
      </c>
      <c r="H3002" s="14">
        <v>47.785116835501576</v>
      </c>
      <c r="I3002" s="14">
        <v>45.328212364937613</v>
      </c>
      <c r="J3002" s="14">
        <v>38.557843327828657</v>
      </c>
    </row>
    <row r="3003" spans="1:10" ht="15.75" x14ac:dyDescent="0.5">
      <c r="A3003" s="13" t="s">
        <v>391</v>
      </c>
      <c r="B3003" s="13" t="s">
        <v>407</v>
      </c>
      <c r="C3003" s="13" t="s">
        <v>400</v>
      </c>
      <c r="D3003" s="14" t="s">
        <v>250</v>
      </c>
      <c r="E3003" s="14">
        <v>97.428510677709454</v>
      </c>
      <c r="F3003" s="14">
        <v>63.824563405148041</v>
      </c>
      <c r="G3003" s="14">
        <v>116.13811627136961</v>
      </c>
      <c r="H3003" s="14">
        <v>65.94859610471245</v>
      </c>
      <c r="I3003" s="14">
        <v>41.533921757032076</v>
      </c>
      <c r="J3003" s="14">
        <v>15.68652547553134</v>
      </c>
    </row>
    <row r="3004" spans="1:10" ht="15.75" x14ac:dyDescent="0.5">
      <c r="A3004" s="13" t="s">
        <v>391</v>
      </c>
      <c r="B3004" s="13" t="s">
        <v>408</v>
      </c>
      <c r="C3004" s="13" t="s">
        <v>400</v>
      </c>
      <c r="D3004" s="14">
        <v>46.892290321001241</v>
      </c>
      <c r="E3004" s="14">
        <v>30.109736277121446</v>
      </c>
      <c r="F3004" s="14">
        <v>22.886292741348903</v>
      </c>
      <c r="G3004" s="14">
        <v>33.048311936197727</v>
      </c>
      <c r="H3004" s="14">
        <v>28.389977174406717</v>
      </c>
      <c r="I3004" s="14">
        <v>38.772307445255535</v>
      </c>
      <c r="J3004" s="14">
        <v>42.116674106943634</v>
      </c>
    </row>
    <row r="3005" spans="1:10" ht="15.75" x14ac:dyDescent="0.5">
      <c r="A3005" s="13" t="s">
        <v>391</v>
      </c>
      <c r="B3005" s="13" t="s">
        <v>409</v>
      </c>
      <c r="C3005" s="13" t="s">
        <v>400</v>
      </c>
      <c r="D3005" s="14">
        <v>18.365704270000037</v>
      </c>
      <c r="E3005" s="14">
        <v>18.36570427000003</v>
      </c>
      <c r="F3005" s="14">
        <v>18.365704270000034</v>
      </c>
      <c r="G3005" s="14">
        <v>18.365704270000034</v>
      </c>
      <c r="H3005" s="14">
        <v>18.365704270000034</v>
      </c>
      <c r="I3005" s="14">
        <v>18.365704270000041</v>
      </c>
      <c r="J3005" s="14">
        <v>17.898152917923372</v>
      </c>
    </row>
    <row r="3006" spans="1:10" ht="15.75" x14ac:dyDescent="0.5">
      <c r="A3006" s="13" t="s">
        <v>391</v>
      </c>
      <c r="B3006" s="13" t="s">
        <v>410</v>
      </c>
      <c r="C3006" s="13" t="s">
        <v>400</v>
      </c>
      <c r="D3006" s="14">
        <v>245.79356253202209</v>
      </c>
      <c r="E3006" s="14">
        <v>244.56699904054182</v>
      </c>
      <c r="F3006" s="14">
        <v>245.94133008760662</v>
      </c>
      <c r="G3006" s="14">
        <v>246.16997594141145</v>
      </c>
      <c r="H3006" s="14">
        <v>246.16997594138573</v>
      </c>
      <c r="I3006" s="14">
        <v>246.16997593947005</v>
      </c>
      <c r="J3006" s="14">
        <v>246.16997594127466</v>
      </c>
    </row>
    <row r="3007" spans="1:10" ht="15.75" x14ac:dyDescent="0.5">
      <c r="A3007" s="13" t="s">
        <v>391</v>
      </c>
      <c r="B3007" s="13" t="s">
        <v>411</v>
      </c>
      <c r="C3007" s="13" t="s">
        <v>400</v>
      </c>
      <c r="D3007" s="14">
        <v>7.1394000000000153</v>
      </c>
      <c r="E3007" s="14">
        <v>3.5593489051094984</v>
      </c>
      <c r="F3007" s="14" t="s">
        <v>250</v>
      </c>
      <c r="G3007" s="14" t="s">
        <v>250</v>
      </c>
      <c r="H3007" s="14" t="s">
        <v>250</v>
      </c>
      <c r="I3007" s="14" t="s">
        <v>250</v>
      </c>
      <c r="J3007" s="14" t="s">
        <v>250</v>
      </c>
    </row>
    <row r="3008" spans="1:10" ht="15.75" x14ac:dyDescent="0.5">
      <c r="A3008" s="13" t="s">
        <v>391</v>
      </c>
      <c r="B3008" s="13" t="s">
        <v>412</v>
      </c>
      <c r="C3008" s="13" t="s">
        <v>400</v>
      </c>
      <c r="D3008" s="14">
        <v>760.72545968400186</v>
      </c>
      <c r="E3008" s="14">
        <v>743.49858924529451</v>
      </c>
      <c r="F3008" s="14">
        <v>614.78703565851799</v>
      </c>
      <c r="G3008" s="14">
        <v>674.28317086834636</v>
      </c>
      <c r="H3008" s="14">
        <v>683.55843141837511</v>
      </c>
      <c r="I3008" s="14">
        <v>683.55843141837511</v>
      </c>
      <c r="J3008" s="14">
        <v>670.44185431483061</v>
      </c>
    </row>
    <row r="3009" spans="1:10" ht="15.75" x14ac:dyDescent="0.5">
      <c r="A3009" s="13" t="s">
        <v>391</v>
      </c>
      <c r="B3009" s="13" t="s">
        <v>413</v>
      </c>
      <c r="C3009" s="13" t="s">
        <v>400</v>
      </c>
      <c r="D3009" s="14">
        <v>23.70292761988614</v>
      </c>
      <c r="E3009" s="14">
        <v>27.99955268829515</v>
      </c>
      <c r="F3009" s="14">
        <v>10.533597500509771</v>
      </c>
      <c r="G3009" s="14">
        <v>4.0247111790152994</v>
      </c>
      <c r="H3009" s="14">
        <v>1.8360836947809749</v>
      </c>
      <c r="I3009" s="14">
        <v>0.7120609081079976</v>
      </c>
      <c r="J3009" s="14" t="s">
        <v>250</v>
      </c>
    </row>
    <row r="3010" spans="1:10" ht="15.75" x14ac:dyDescent="0.5">
      <c r="A3010" s="13" t="s">
        <v>391</v>
      </c>
      <c r="B3010" s="13" t="s">
        <v>414</v>
      </c>
      <c r="C3010" s="13" t="s">
        <v>400</v>
      </c>
      <c r="D3010" s="14">
        <v>0.6803907705109502</v>
      </c>
      <c r="E3010" s="14">
        <v>24.43034958652521</v>
      </c>
      <c r="F3010" s="14">
        <v>100.43954524136619</v>
      </c>
      <c r="G3010" s="14">
        <v>206.5710703951641</v>
      </c>
      <c r="H3010" s="14">
        <v>253.01031490605155</v>
      </c>
      <c r="I3010" s="14">
        <v>254.52819616149588</v>
      </c>
      <c r="J3010" s="14">
        <v>255.70353334832538</v>
      </c>
    </row>
    <row r="3011" spans="1:10" ht="15.75" x14ac:dyDescent="0.5">
      <c r="A3011" s="13" t="s">
        <v>391</v>
      </c>
      <c r="B3011" s="13" t="s">
        <v>415</v>
      </c>
      <c r="C3011" s="13" t="s">
        <v>400</v>
      </c>
      <c r="D3011" s="14">
        <v>440.5312448325555</v>
      </c>
      <c r="E3011" s="14">
        <v>873.81161417244346</v>
      </c>
      <c r="F3011" s="14">
        <v>1349.2340811403974</v>
      </c>
      <c r="G3011" s="14">
        <v>1418.5774992178008</v>
      </c>
      <c r="H3011" s="14">
        <v>1517.2500526170347</v>
      </c>
      <c r="I3011" s="14">
        <v>1815.0391550778493</v>
      </c>
      <c r="J3011" s="14">
        <v>2925.8736844431642</v>
      </c>
    </row>
    <row r="3012" spans="1:10" ht="15.75" x14ac:dyDescent="0.5">
      <c r="A3012" s="13" t="s">
        <v>391</v>
      </c>
      <c r="B3012" s="13" t="s">
        <v>416</v>
      </c>
      <c r="C3012" s="13" t="s">
        <v>400</v>
      </c>
      <c r="D3012" s="14" t="s">
        <v>250</v>
      </c>
      <c r="E3012" s="14">
        <v>70.934498682900696</v>
      </c>
      <c r="F3012" s="14">
        <v>100.19546122793699</v>
      </c>
      <c r="G3012" s="14">
        <v>127.69344447727373</v>
      </c>
      <c r="H3012" s="14">
        <v>145.88323771792344</v>
      </c>
      <c r="I3012" s="14">
        <v>165.77906731373221</v>
      </c>
      <c r="J3012" s="14">
        <v>186.28657305490816</v>
      </c>
    </row>
    <row r="3013" spans="1:10" ht="15.75" x14ac:dyDescent="0.5">
      <c r="A3013" s="13" t="s">
        <v>391</v>
      </c>
      <c r="B3013" s="13" t="s">
        <v>417</v>
      </c>
      <c r="C3013" s="13" t="s">
        <v>400</v>
      </c>
      <c r="D3013" s="14">
        <v>187.48709633408697</v>
      </c>
      <c r="E3013" s="14">
        <v>298.36286233429831</v>
      </c>
      <c r="F3013" s="14">
        <v>340.2064574029028</v>
      </c>
      <c r="G3013" s="14">
        <v>453.98135223057761</v>
      </c>
      <c r="H3013" s="14">
        <v>780.70182430329317</v>
      </c>
      <c r="I3013" s="14">
        <v>1777.1861839661194</v>
      </c>
      <c r="J3013" s="14">
        <v>2980.527142349225</v>
      </c>
    </row>
    <row r="3014" spans="1:10" ht="15.75" x14ac:dyDescent="0.5">
      <c r="A3014" s="13" t="s">
        <v>391</v>
      </c>
      <c r="B3014" s="13" t="s">
        <v>418</v>
      </c>
      <c r="C3014" s="13" t="s">
        <v>400</v>
      </c>
      <c r="D3014" s="14">
        <v>3.1841751731019539</v>
      </c>
      <c r="E3014" s="14">
        <v>3.1841751731019534</v>
      </c>
      <c r="F3014" s="14">
        <v>3.184175173101953</v>
      </c>
      <c r="G3014" s="14">
        <v>3.1841751731019539</v>
      </c>
      <c r="H3014" s="14">
        <v>3.184175173101953</v>
      </c>
      <c r="I3014" s="14">
        <v>3.184175173101953</v>
      </c>
      <c r="J3014" s="14">
        <v>3.1841751731019534</v>
      </c>
    </row>
    <row r="3015" spans="1:10" ht="15.75" x14ac:dyDescent="0.5">
      <c r="A3015" s="13" t="s">
        <v>391</v>
      </c>
      <c r="B3015" s="13" t="s">
        <v>419</v>
      </c>
      <c r="C3015" s="13" t="s">
        <v>400</v>
      </c>
      <c r="D3015" s="14">
        <v>0.54465920264079493</v>
      </c>
      <c r="E3015" s="14">
        <v>8.8568202551202919</v>
      </c>
      <c r="F3015" s="14">
        <v>21.020555994049484</v>
      </c>
      <c r="G3015" s="14">
        <v>54.84484809321598</v>
      </c>
      <c r="H3015" s="14">
        <v>146.13292367008924</v>
      </c>
      <c r="I3015" s="14">
        <v>419.41727996646432</v>
      </c>
      <c r="J3015" s="14">
        <v>1401.3396747945133</v>
      </c>
    </row>
    <row r="3016" spans="1:10" ht="15.75" x14ac:dyDescent="0.5">
      <c r="A3016" s="13" t="s">
        <v>391</v>
      </c>
      <c r="B3016" s="13" t="s">
        <v>420</v>
      </c>
      <c r="C3016" s="13" t="s">
        <v>400</v>
      </c>
      <c r="D3016" s="14">
        <v>-13.987252957808384</v>
      </c>
      <c r="E3016" s="14">
        <v>-14.005582322348705</v>
      </c>
      <c r="F3016" s="14">
        <v>-12.966574481973584</v>
      </c>
      <c r="G3016" s="14">
        <v>-12.145142955138752</v>
      </c>
      <c r="H3016" s="14">
        <v>-15.051104462150487</v>
      </c>
      <c r="I3016" s="14">
        <v>-17.223335164960044</v>
      </c>
      <c r="J3016" s="14">
        <v>-15.024502823135435</v>
      </c>
    </row>
    <row r="3017" spans="1:10" ht="15.75" x14ac:dyDescent="0.5">
      <c r="A3017" s="13" t="s">
        <v>392</v>
      </c>
      <c r="B3017" s="13" t="s">
        <v>399</v>
      </c>
      <c r="C3017" s="13" t="s">
        <v>400</v>
      </c>
      <c r="D3017" s="14">
        <v>7.2499064625597898</v>
      </c>
      <c r="E3017" s="14">
        <v>0.2089828270714929</v>
      </c>
      <c r="F3017" s="14">
        <v>0.51246000000000103</v>
      </c>
      <c r="G3017" s="14">
        <v>0.33375600000000066</v>
      </c>
      <c r="H3017" s="14">
        <v>0.32249851094890575</v>
      </c>
      <c r="I3017" s="14">
        <v>0.67879033576642467</v>
      </c>
      <c r="J3017" s="14">
        <v>0.65138105053133488</v>
      </c>
    </row>
    <row r="3018" spans="1:10" ht="15.75" x14ac:dyDescent="0.5">
      <c r="A3018" s="13" t="s">
        <v>392</v>
      </c>
      <c r="B3018" s="13" t="s">
        <v>401</v>
      </c>
      <c r="C3018" s="13" t="s">
        <v>400</v>
      </c>
      <c r="D3018" s="14" t="s">
        <v>250</v>
      </c>
      <c r="E3018" s="14" t="s">
        <v>250</v>
      </c>
      <c r="F3018" s="14">
        <v>100.81833794446587</v>
      </c>
      <c r="G3018" s="14">
        <v>100.8183379444659</v>
      </c>
      <c r="H3018" s="14">
        <v>16.85068853324449</v>
      </c>
      <c r="I3018" s="14">
        <v>11.83297437072757</v>
      </c>
      <c r="J3018" s="14" t="s">
        <v>250</v>
      </c>
    </row>
    <row r="3019" spans="1:10" ht="15.75" x14ac:dyDescent="0.5">
      <c r="A3019" s="13" t="s">
        <v>392</v>
      </c>
      <c r="B3019" s="13" t="s">
        <v>402</v>
      </c>
      <c r="C3019" s="13" t="s">
        <v>400</v>
      </c>
      <c r="D3019" s="14">
        <v>1072.9916742877467</v>
      </c>
      <c r="E3019" s="14">
        <v>275.36268640675934</v>
      </c>
      <c r="F3019" s="14">
        <v>141.29045105003283</v>
      </c>
      <c r="G3019" s="14">
        <v>104.29064835342727</v>
      </c>
      <c r="H3019" s="14">
        <v>91.821468994757367</v>
      </c>
      <c r="I3019" s="14">
        <v>45.660711565530377</v>
      </c>
      <c r="J3019" s="14" t="s">
        <v>250</v>
      </c>
    </row>
    <row r="3020" spans="1:10" ht="15.75" x14ac:dyDescent="0.5">
      <c r="A3020" s="13" t="s">
        <v>392</v>
      </c>
      <c r="B3020" s="13" t="s">
        <v>403</v>
      </c>
      <c r="C3020" s="13" t="s">
        <v>400</v>
      </c>
      <c r="D3020" s="14" t="s">
        <v>250</v>
      </c>
      <c r="E3020" s="14" t="s">
        <v>250</v>
      </c>
      <c r="F3020" s="14">
        <v>156.56258685484789</v>
      </c>
      <c r="G3020" s="14">
        <v>156.56258685484792</v>
      </c>
      <c r="H3020" s="14">
        <v>31.737922754135035</v>
      </c>
      <c r="I3020" s="14">
        <v>33.552782217343633</v>
      </c>
      <c r="J3020" s="14" t="s">
        <v>250</v>
      </c>
    </row>
    <row r="3021" spans="1:10" ht="15.75" x14ac:dyDescent="0.5">
      <c r="A3021" s="13" t="s">
        <v>392</v>
      </c>
      <c r="B3021" s="13" t="s">
        <v>404</v>
      </c>
      <c r="C3021" s="13" t="s">
        <v>400</v>
      </c>
      <c r="D3021" s="14" t="s">
        <v>250</v>
      </c>
      <c r="E3021" s="14" t="s">
        <v>250</v>
      </c>
      <c r="F3021" s="14" t="s">
        <v>250</v>
      </c>
      <c r="G3021" s="14" t="s">
        <v>250</v>
      </c>
      <c r="H3021" s="14" t="s">
        <v>250</v>
      </c>
      <c r="I3021" s="14">
        <v>0.33069896914528535</v>
      </c>
      <c r="J3021" s="14" t="s">
        <v>250</v>
      </c>
    </row>
    <row r="3022" spans="1:10" ht="15.75" x14ac:dyDescent="0.5">
      <c r="A3022" s="13" t="s">
        <v>392</v>
      </c>
      <c r="B3022" s="13" t="s">
        <v>421</v>
      </c>
      <c r="C3022" s="13" t="s">
        <v>400</v>
      </c>
      <c r="D3022" s="14" t="s">
        <v>250</v>
      </c>
      <c r="E3022" s="14" t="s">
        <v>250</v>
      </c>
      <c r="F3022" s="14" t="s">
        <v>250</v>
      </c>
      <c r="G3022" s="14">
        <v>788.74419531583669</v>
      </c>
      <c r="H3022" s="14">
        <v>2122.7345296997523</v>
      </c>
      <c r="I3022" s="14">
        <v>2129.4391775410299</v>
      </c>
      <c r="J3022" s="14">
        <v>348.215647296219</v>
      </c>
    </row>
    <row r="3023" spans="1:10" ht="15.75" x14ac:dyDescent="0.5">
      <c r="A3023" s="13" t="s">
        <v>392</v>
      </c>
      <c r="B3023" s="13" t="s">
        <v>405</v>
      </c>
      <c r="C3023" s="13" t="s">
        <v>400</v>
      </c>
      <c r="D3023" s="14">
        <v>1259.3891290889953</v>
      </c>
      <c r="E3023" s="14">
        <v>1472.4395853415976</v>
      </c>
      <c r="F3023" s="14">
        <v>1428.990120538861</v>
      </c>
      <c r="G3023" s="14">
        <v>1285.9997141177978</v>
      </c>
      <c r="H3023" s="14">
        <v>856.28860788655152</v>
      </c>
      <c r="I3023" s="14">
        <v>499.39283821710603</v>
      </c>
      <c r="J3023" s="14">
        <v>260.5768424428789</v>
      </c>
    </row>
    <row r="3024" spans="1:10" ht="15.75" x14ac:dyDescent="0.5">
      <c r="A3024" s="13" t="s">
        <v>392</v>
      </c>
      <c r="B3024" s="13" t="s">
        <v>406</v>
      </c>
      <c r="C3024" s="13" t="s">
        <v>400</v>
      </c>
      <c r="D3024" s="14">
        <v>23.479196814299332</v>
      </c>
      <c r="E3024" s="14">
        <v>29.837520209596633</v>
      </c>
      <c r="F3024" s="14">
        <v>44.641008585757419</v>
      </c>
      <c r="G3024" s="14">
        <v>49.233528100852048</v>
      </c>
      <c r="H3024" s="14">
        <v>53.909713060727455</v>
      </c>
      <c r="I3024" s="14">
        <v>51.180685318424111</v>
      </c>
      <c r="J3024" s="14">
        <v>45.75229967127791</v>
      </c>
    </row>
    <row r="3025" spans="1:10" ht="15.75" x14ac:dyDescent="0.5">
      <c r="A3025" s="13" t="s">
        <v>392</v>
      </c>
      <c r="B3025" s="13" t="s">
        <v>407</v>
      </c>
      <c r="C3025" s="13" t="s">
        <v>400</v>
      </c>
      <c r="D3025" s="14" t="s">
        <v>250</v>
      </c>
      <c r="E3025" s="14">
        <v>96.526277250165137</v>
      </c>
      <c r="F3025" s="14">
        <v>63.506359284506559</v>
      </c>
      <c r="G3025" s="14">
        <v>111.91350847270331</v>
      </c>
      <c r="H3025" s="14">
        <v>65.596595292879414</v>
      </c>
      <c r="I3025" s="14">
        <v>28.499057188875497</v>
      </c>
      <c r="J3025" s="14">
        <v>12.938402777777799</v>
      </c>
    </row>
    <row r="3026" spans="1:10" ht="15.75" x14ac:dyDescent="0.5">
      <c r="A3026" s="13" t="s">
        <v>392</v>
      </c>
      <c r="B3026" s="13" t="s">
        <v>408</v>
      </c>
      <c r="C3026" s="13" t="s">
        <v>400</v>
      </c>
      <c r="D3026" s="14">
        <v>46.892290321001227</v>
      </c>
      <c r="E3026" s="14">
        <v>30.1572848703169</v>
      </c>
      <c r="F3026" s="14">
        <v>22.799228697387186</v>
      </c>
      <c r="G3026" s="14">
        <v>33.052464888935724</v>
      </c>
      <c r="H3026" s="14">
        <v>28.873274913359754</v>
      </c>
      <c r="I3026" s="14">
        <v>37.960677213350138</v>
      </c>
      <c r="J3026" s="14">
        <v>38.770768291970867</v>
      </c>
    </row>
    <row r="3027" spans="1:10" ht="15.75" x14ac:dyDescent="0.5">
      <c r="A3027" s="13" t="s">
        <v>392</v>
      </c>
      <c r="B3027" s="13" t="s">
        <v>409</v>
      </c>
      <c r="C3027" s="13" t="s">
        <v>400</v>
      </c>
      <c r="D3027" s="14">
        <v>18.365704270000037</v>
      </c>
      <c r="E3027" s="14">
        <v>18.36570427000003</v>
      </c>
      <c r="F3027" s="14">
        <v>18.36570427000003</v>
      </c>
      <c r="G3027" s="14">
        <v>18.365704270000034</v>
      </c>
      <c r="H3027" s="14">
        <v>18.365704270000034</v>
      </c>
      <c r="I3027" s="14">
        <v>18.365704270000037</v>
      </c>
      <c r="J3027" s="14">
        <v>18.365704270000037</v>
      </c>
    </row>
    <row r="3028" spans="1:10" ht="15.75" x14ac:dyDescent="0.5">
      <c r="A3028" s="13" t="s">
        <v>392</v>
      </c>
      <c r="B3028" s="13" t="s">
        <v>410</v>
      </c>
      <c r="C3028" s="13" t="s">
        <v>400</v>
      </c>
      <c r="D3028" s="14">
        <v>245.79356253202221</v>
      </c>
      <c r="E3028" s="14">
        <v>244.57233691842401</v>
      </c>
      <c r="F3028" s="14">
        <v>245.9521557808167</v>
      </c>
      <c r="G3028" s="14">
        <v>246.1695328024129</v>
      </c>
      <c r="H3028" s="14">
        <v>246.16997594137857</v>
      </c>
      <c r="I3028" s="14">
        <v>246.16997594140096</v>
      </c>
      <c r="J3028" s="14">
        <v>246.16997594139059</v>
      </c>
    </row>
    <row r="3029" spans="1:10" ht="15.75" x14ac:dyDescent="0.5">
      <c r="A3029" s="13" t="s">
        <v>392</v>
      </c>
      <c r="B3029" s="13" t="s">
        <v>411</v>
      </c>
      <c r="C3029" s="13" t="s">
        <v>400</v>
      </c>
      <c r="D3029" s="14">
        <v>7.1394000000000162</v>
      </c>
      <c r="E3029" s="14">
        <v>3.5593489051094975</v>
      </c>
      <c r="F3029" s="14" t="s">
        <v>250</v>
      </c>
      <c r="G3029" s="14" t="s">
        <v>250</v>
      </c>
      <c r="H3029" s="14" t="s">
        <v>250</v>
      </c>
      <c r="I3029" s="14" t="s">
        <v>250</v>
      </c>
      <c r="J3029" s="14" t="s">
        <v>250</v>
      </c>
    </row>
    <row r="3030" spans="1:10" ht="15.75" x14ac:dyDescent="0.5">
      <c r="A3030" s="13" t="s">
        <v>392</v>
      </c>
      <c r="B3030" s="13" t="s">
        <v>412</v>
      </c>
      <c r="C3030" s="13" t="s">
        <v>400</v>
      </c>
      <c r="D3030" s="14">
        <v>760.72545968400175</v>
      </c>
      <c r="E3030" s="14">
        <v>743.88482584616156</v>
      </c>
      <c r="F3030" s="14">
        <v>613.64588687438584</v>
      </c>
      <c r="G3030" s="14">
        <v>675.6031895017303</v>
      </c>
      <c r="H3030" s="14">
        <v>757.41325464502597</v>
      </c>
      <c r="I3030" s="14">
        <v>1035.0177083014382</v>
      </c>
      <c r="J3030" s="14">
        <v>2095.0991252213535</v>
      </c>
    </row>
    <row r="3031" spans="1:10" ht="15.75" x14ac:dyDescent="0.5">
      <c r="A3031" s="13" t="s">
        <v>392</v>
      </c>
      <c r="B3031" s="13" t="s">
        <v>413</v>
      </c>
      <c r="C3031" s="13" t="s">
        <v>400</v>
      </c>
      <c r="D3031" s="14">
        <v>23.702927619886136</v>
      </c>
      <c r="E3031" s="14">
        <v>27.890082737109442</v>
      </c>
      <c r="F3031" s="14">
        <v>11.307898774949031</v>
      </c>
      <c r="G3031" s="14">
        <v>3.6638615749088439</v>
      </c>
      <c r="H3031" s="14">
        <v>1.8679766456953697</v>
      </c>
      <c r="I3031" s="14">
        <v>0.37375152973393588</v>
      </c>
      <c r="J3031" s="14" t="s">
        <v>250</v>
      </c>
    </row>
    <row r="3032" spans="1:10" ht="15.75" x14ac:dyDescent="0.5">
      <c r="A3032" s="13" t="s">
        <v>392</v>
      </c>
      <c r="B3032" s="13" t="s">
        <v>414</v>
      </c>
      <c r="C3032" s="13" t="s">
        <v>400</v>
      </c>
      <c r="D3032" s="14">
        <v>0.6803907705109502</v>
      </c>
      <c r="E3032" s="14">
        <v>24.430349541099531</v>
      </c>
      <c r="F3032" s="14">
        <v>100.4750054711035</v>
      </c>
      <c r="G3032" s="14">
        <v>206.66866078782675</v>
      </c>
      <c r="H3032" s="14">
        <v>253.10877979794296</v>
      </c>
      <c r="I3032" s="14">
        <v>254.62731227621725</v>
      </c>
      <c r="J3032" s="14">
        <v>255.80315183494426</v>
      </c>
    </row>
    <row r="3033" spans="1:10" ht="15.75" x14ac:dyDescent="0.5">
      <c r="A3033" s="13" t="s">
        <v>392</v>
      </c>
      <c r="B3033" s="13" t="s">
        <v>415</v>
      </c>
      <c r="C3033" s="13" t="s">
        <v>400</v>
      </c>
      <c r="D3033" s="14">
        <v>440.53124483255561</v>
      </c>
      <c r="E3033" s="14">
        <v>873.81161417244311</v>
      </c>
      <c r="F3033" s="14">
        <v>1347.5383177445628</v>
      </c>
      <c r="G3033" s="14">
        <v>1411.5854368437485</v>
      </c>
      <c r="H3033" s="14">
        <v>1494.8125965912307</v>
      </c>
      <c r="I3033" s="14">
        <v>1677.2976944566799</v>
      </c>
      <c r="J3033" s="14">
        <v>2634.9218001037134</v>
      </c>
    </row>
    <row r="3034" spans="1:10" ht="15.75" x14ac:dyDescent="0.5">
      <c r="A3034" s="13" t="s">
        <v>392</v>
      </c>
      <c r="B3034" s="13" t="s">
        <v>416</v>
      </c>
      <c r="C3034" s="13" t="s">
        <v>400</v>
      </c>
      <c r="D3034" s="14" t="s">
        <v>250</v>
      </c>
      <c r="E3034" s="14">
        <v>70.934498682900767</v>
      </c>
      <c r="F3034" s="14">
        <v>100.195461227937</v>
      </c>
      <c r="G3034" s="14">
        <v>127.69344447727374</v>
      </c>
      <c r="H3034" s="14">
        <v>145.88323771792344</v>
      </c>
      <c r="I3034" s="14">
        <v>165.77906731373224</v>
      </c>
      <c r="J3034" s="14">
        <v>186.28657305490805</v>
      </c>
    </row>
    <row r="3035" spans="1:10" ht="15.75" x14ac:dyDescent="0.5">
      <c r="A3035" s="13" t="s">
        <v>392</v>
      </c>
      <c r="B3035" s="13" t="s">
        <v>417</v>
      </c>
      <c r="C3035" s="13" t="s">
        <v>400</v>
      </c>
      <c r="D3035" s="14">
        <v>187.48709633408694</v>
      </c>
      <c r="E3035" s="14">
        <v>298.36286233429831</v>
      </c>
      <c r="F3035" s="14">
        <v>340.20645740290269</v>
      </c>
      <c r="G3035" s="14">
        <v>460.61153321714517</v>
      </c>
      <c r="H3035" s="14">
        <v>753.8940667152757</v>
      </c>
      <c r="I3035" s="14">
        <v>1605.8278544718055</v>
      </c>
      <c r="J3035" s="14">
        <v>2355.7634006377652</v>
      </c>
    </row>
    <row r="3036" spans="1:10" ht="15.75" x14ac:dyDescent="0.5">
      <c r="A3036" s="13" t="s">
        <v>392</v>
      </c>
      <c r="B3036" s="13" t="s">
        <v>418</v>
      </c>
      <c r="C3036" s="13" t="s">
        <v>400</v>
      </c>
      <c r="D3036" s="14">
        <v>3.1841751731019534</v>
      </c>
      <c r="E3036" s="14">
        <v>3.1841751731019539</v>
      </c>
      <c r="F3036" s="14">
        <v>3.184175173101953</v>
      </c>
      <c r="G3036" s="14">
        <v>3.1841751731019534</v>
      </c>
      <c r="H3036" s="14">
        <v>3.1841751731019539</v>
      </c>
      <c r="I3036" s="14">
        <v>3.1841751731019534</v>
      </c>
      <c r="J3036" s="14">
        <v>3.1841751731019539</v>
      </c>
    </row>
    <row r="3037" spans="1:10" ht="15.75" x14ac:dyDescent="0.5">
      <c r="A3037" s="13" t="s">
        <v>392</v>
      </c>
      <c r="B3037" s="13" t="s">
        <v>419</v>
      </c>
      <c r="C3037" s="13" t="s">
        <v>400</v>
      </c>
      <c r="D3037" s="14">
        <v>0.54465920264079493</v>
      </c>
      <c r="E3037" s="14">
        <v>8.8285643097156932</v>
      </c>
      <c r="F3037" s="14">
        <v>20.234361653315666</v>
      </c>
      <c r="G3037" s="14">
        <v>54.514293835541665</v>
      </c>
      <c r="H3037" s="14">
        <v>116.5486770541419</v>
      </c>
      <c r="I3037" s="14">
        <v>301.44627485462962</v>
      </c>
      <c r="J3037" s="14">
        <v>737.03402836767395</v>
      </c>
    </row>
    <row r="3038" spans="1:10" ht="15.75" x14ac:dyDescent="0.5">
      <c r="A3038" s="13" t="s">
        <v>392</v>
      </c>
      <c r="B3038" s="13" t="s">
        <v>420</v>
      </c>
      <c r="C3038" s="13" t="s">
        <v>400</v>
      </c>
      <c r="D3038" s="14">
        <v>-13.987252957808373</v>
      </c>
      <c r="E3038" s="14">
        <v>-13.989180747223415</v>
      </c>
      <c r="F3038" s="14">
        <v>-12.988751850536218</v>
      </c>
      <c r="G3038" s="14">
        <v>-11.73276199656561</v>
      </c>
      <c r="H3038" s="14">
        <v>-14.730808476537515</v>
      </c>
      <c r="I3038" s="14">
        <v>-17.498211351436154</v>
      </c>
      <c r="J3038" s="14">
        <v>-18.045779086178932</v>
      </c>
    </row>
    <row r="3039" spans="1:10" ht="15.75" x14ac:dyDescent="0.5">
      <c r="A3039" s="13" t="s">
        <v>393</v>
      </c>
      <c r="B3039" s="13" t="s">
        <v>399</v>
      </c>
      <c r="C3039" s="13" t="s">
        <v>400</v>
      </c>
      <c r="D3039" s="14">
        <v>7.2499064625597898</v>
      </c>
      <c r="E3039" s="14">
        <v>0.20898282707147348</v>
      </c>
      <c r="F3039" s="14">
        <v>0.51246000000000125</v>
      </c>
      <c r="G3039" s="14">
        <v>0.33375600000000066</v>
      </c>
      <c r="H3039" s="14">
        <v>0.2757790948905115</v>
      </c>
      <c r="I3039" s="14">
        <v>0.55563601358693271</v>
      </c>
      <c r="J3039" s="14">
        <v>1.4685836496350388</v>
      </c>
    </row>
    <row r="3040" spans="1:10" ht="15.75" x14ac:dyDescent="0.5">
      <c r="A3040" s="13" t="s">
        <v>393</v>
      </c>
      <c r="B3040" s="13" t="s">
        <v>401</v>
      </c>
      <c r="C3040" s="13" t="s">
        <v>400</v>
      </c>
      <c r="D3040" s="14" t="s">
        <v>250</v>
      </c>
      <c r="E3040" s="14" t="s">
        <v>250</v>
      </c>
      <c r="F3040" s="14">
        <v>93.825661263047607</v>
      </c>
      <c r="G3040" s="14">
        <v>93.825661263047621</v>
      </c>
      <c r="H3040" s="14">
        <v>8.835186832912278</v>
      </c>
      <c r="I3040" s="14">
        <v>7.8614206103174302</v>
      </c>
      <c r="J3040" s="14" t="s">
        <v>250</v>
      </c>
    </row>
    <row r="3041" spans="1:10" ht="15.75" x14ac:dyDescent="0.5">
      <c r="A3041" s="13" t="s">
        <v>393</v>
      </c>
      <c r="B3041" s="13" t="s">
        <v>402</v>
      </c>
      <c r="C3041" s="13" t="s">
        <v>400</v>
      </c>
      <c r="D3041" s="14">
        <v>1072.9916742877465</v>
      </c>
      <c r="E3041" s="14">
        <v>275.68454291116564</v>
      </c>
      <c r="F3041" s="14">
        <v>147.33951808547064</v>
      </c>
      <c r="G3041" s="14">
        <v>127.07435201847967</v>
      </c>
      <c r="H3041" s="14">
        <v>88.457198885440704</v>
      </c>
      <c r="I3041" s="14">
        <v>48.290349614582077</v>
      </c>
      <c r="J3041" s="14" t="s">
        <v>250</v>
      </c>
    </row>
    <row r="3042" spans="1:10" ht="15.75" x14ac:dyDescent="0.5">
      <c r="A3042" s="13" t="s">
        <v>393</v>
      </c>
      <c r="B3042" s="13" t="s">
        <v>403</v>
      </c>
      <c r="C3042" s="13" t="s">
        <v>400</v>
      </c>
      <c r="D3042" s="14" t="s">
        <v>250</v>
      </c>
      <c r="E3042" s="14" t="s">
        <v>250</v>
      </c>
      <c r="F3042" s="14">
        <v>76.692006693878994</v>
      </c>
      <c r="G3042" s="14">
        <v>76.692006693878938</v>
      </c>
      <c r="H3042" s="14">
        <v>15.494448938557914</v>
      </c>
      <c r="I3042" s="14">
        <v>15.494448938557916</v>
      </c>
      <c r="J3042" s="14" t="s">
        <v>250</v>
      </c>
    </row>
    <row r="3043" spans="1:10" ht="15.75" x14ac:dyDescent="0.5">
      <c r="A3043" s="13" t="s">
        <v>393</v>
      </c>
      <c r="B3043" s="13" t="s">
        <v>404</v>
      </c>
      <c r="C3043" s="13" t="s">
        <v>400</v>
      </c>
      <c r="D3043" s="14" t="s">
        <v>250</v>
      </c>
      <c r="E3043" s="14" t="s">
        <v>250</v>
      </c>
      <c r="F3043" s="14" t="s">
        <v>250</v>
      </c>
      <c r="G3043" s="14" t="s">
        <v>250</v>
      </c>
      <c r="H3043" s="14" t="s">
        <v>250</v>
      </c>
      <c r="I3043" s="14">
        <v>0.33069896914528535</v>
      </c>
      <c r="J3043" s="14" t="s">
        <v>250</v>
      </c>
    </row>
    <row r="3044" spans="1:10" ht="15.75" x14ac:dyDescent="0.5">
      <c r="A3044" s="13" t="s">
        <v>393</v>
      </c>
      <c r="B3044" s="13" t="s">
        <v>421</v>
      </c>
      <c r="C3044" s="13" t="s">
        <v>400</v>
      </c>
      <c r="D3044" s="14" t="s">
        <v>250</v>
      </c>
      <c r="E3044" s="14" t="s">
        <v>250</v>
      </c>
      <c r="F3044" s="14" t="s">
        <v>250</v>
      </c>
      <c r="G3044" s="14">
        <v>1039.2861614925775</v>
      </c>
      <c r="H3044" s="14">
        <v>2747.5453421453644</v>
      </c>
      <c r="I3044" s="14">
        <v>2788.270147808179</v>
      </c>
      <c r="J3044" s="14">
        <v>1271.2889182615406</v>
      </c>
    </row>
    <row r="3045" spans="1:10" ht="15.75" x14ac:dyDescent="0.5">
      <c r="A3045" s="13" t="s">
        <v>393</v>
      </c>
      <c r="B3045" s="13" t="s">
        <v>405</v>
      </c>
      <c r="C3045" s="13" t="s">
        <v>400</v>
      </c>
      <c r="D3045" s="14">
        <v>1259.3891290889947</v>
      </c>
      <c r="E3045" s="14">
        <v>1469.2506083154694</v>
      </c>
      <c r="F3045" s="14">
        <v>1499.0200072457976</v>
      </c>
      <c r="G3045" s="14">
        <v>1204.3187273062201</v>
      </c>
      <c r="H3045" s="14">
        <v>573.10553399626451</v>
      </c>
      <c r="I3045" s="14">
        <v>482.12941396701558</v>
      </c>
      <c r="J3045" s="14">
        <v>239.06796640715837</v>
      </c>
    </row>
    <row r="3046" spans="1:10" ht="15.75" x14ac:dyDescent="0.5">
      <c r="A3046" s="13" t="s">
        <v>393</v>
      </c>
      <c r="B3046" s="13" t="s">
        <v>406</v>
      </c>
      <c r="C3046" s="13" t="s">
        <v>400</v>
      </c>
      <c r="D3046" s="14">
        <v>23.479196814299332</v>
      </c>
      <c r="E3046" s="14">
        <v>30.5724939899746</v>
      </c>
      <c r="F3046" s="14">
        <v>45.287658268041397</v>
      </c>
      <c r="G3046" s="14">
        <v>48.423171587955096</v>
      </c>
      <c r="H3046" s="14">
        <v>49.015680084622069</v>
      </c>
      <c r="I3046" s="14">
        <v>46.81974595878085</v>
      </c>
      <c r="J3046" s="14">
        <v>41.581967609432205</v>
      </c>
    </row>
    <row r="3047" spans="1:10" ht="15.75" x14ac:dyDescent="0.5">
      <c r="A3047" s="13" t="s">
        <v>393</v>
      </c>
      <c r="B3047" s="13" t="s">
        <v>407</v>
      </c>
      <c r="C3047" s="13" t="s">
        <v>400</v>
      </c>
      <c r="D3047" s="14" t="s">
        <v>250</v>
      </c>
      <c r="E3047" s="14">
        <v>97.426072467834487</v>
      </c>
      <c r="F3047" s="14">
        <v>95.57345687972672</v>
      </c>
      <c r="G3047" s="14">
        <v>84.808620263368027</v>
      </c>
      <c r="H3047" s="14">
        <v>35.170570919139884</v>
      </c>
      <c r="I3047" s="14">
        <v>27.997365904237878</v>
      </c>
      <c r="J3047" s="14">
        <v>12.185033701107971</v>
      </c>
    </row>
    <row r="3048" spans="1:10" ht="15.75" x14ac:dyDescent="0.5">
      <c r="A3048" s="13" t="s">
        <v>393</v>
      </c>
      <c r="B3048" s="13" t="s">
        <v>408</v>
      </c>
      <c r="C3048" s="13" t="s">
        <v>400</v>
      </c>
      <c r="D3048" s="14">
        <v>46.892290321001227</v>
      </c>
      <c r="E3048" s="14">
        <v>30.11416648539581</v>
      </c>
      <c r="F3048" s="14">
        <v>22.991661633070869</v>
      </c>
      <c r="G3048" s="14">
        <v>26.1039486844682</v>
      </c>
      <c r="H3048" s="14">
        <v>20.114713284486172</v>
      </c>
      <c r="I3048" s="14">
        <v>35.263534258983363</v>
      </c>
      <c r="J3048" s="14">
        <v>42.030531822081876</v>
      </c>
    </row>
    <row r="3049" spans="1:10" ht="15.75" x14ac:dyDescent="0.5">
      <c r="A3049" s="13" t="s">
        <v>393</v>
      </c>
      <c r="B3049" s="13" t="s">
        <v>409</v>
      </c>
      <c r="C3049" s="13" t="s">
        <v>400</v>
      </c>
      <c r="D3049" s="14">
        <v>18.36570427000003</v>
      </c>
      <c r="E3049" s="14">
        <v>18.36570427000003</v>
      </c>
      <c r="F3049" s="14">
        <v>18.365704270000034</v>
      </c>
      <c r="G3049" s="14">
        <v>18.365704270000034</v>
      </c>
      <c r="H3049" s="14">
        <v>18.365704270000034</v>
      </c>
      <c r="I3049" s="14">
        <v>18.36570427000003</v>
      </c>
      <c r="J3049" s="14">
        <v>18.141285163197118</v>
      </c>
    </row>
    <row r="3050" spans="1:10" ht="15.75" x14ac:dyDescent="0.5">
      <c r="A3050" s="13" t="s">
        <v>393</v>
      </c>
      <c r="B3050" s="13" t="s">
        <v>410</v>
      </c>
      <c r="C3050" s="13" t="s">
        <v>400</v>
      </c>
      <c r="D3050" s="14">
        <v>245.79356253202212</v>
      </c>
      <c r="E3050" s="14">
        <v>244.57181803196198</v>
      </c>
      <c r="F3050" s="14">
        <v>245.83291565086267</v>
      </c>
      <c r="G3050" s="14">
        <v>246.1501759413897</v>
      </c>
      <c r="H3050" s="14">
        <v>246.16997594139099</v>
      </c>
      <c r="I3050" s="14">
        <v>246.1699759413911</v>
      </c>
      <c r="J3050" s="14">
        <v>246.16997594139355</v>
      </c>
    </row>
    <row r="3051" spans="1:10" ht="15.75" x14ac:dyDescent="0.5">
      <c r="A3051" s="13" t="s">
        <v>393</v>
      </c>
      <c r="B3051" s="13" t="s">
        <v>411</v>
      </c>
      <c r="C3051" s="13" t="s">
        <v>400</v>
      </c>
      <c r="D3051" s="14">
        <v>7.1394000000000171</v>
      </c>
      <c r="E3051" s="14">
        <v>3.5593489051094975</v>
      </c>
      <c r="F3051" s="14" t="s">
        <v>250</v>
      </c>
      <c r="G3051" s="14" t="s">
        <v>250</v>
      </c>
      <c r="H3051" s="14" t="s">
        <v>250</v>
      </c>
      <c r="I3051" s="14" t="s">
        <v>250</v>
      </c>
      <c r="J3051" s="14" t="s">
        <v>250</v>
      </c>
    </row>
    <row r="3052" spans="1:10" ht="15.75" x14ac:dyDescent="0.5">
      <c r="A3052" s="13" t="s">
        <v>393</v>
      </c>
      <c r="B3052" s="13" t="s">
        <v>412</v>
      </c>
      <c r="C3052" s="13" t="s">
        <v>400</v>
      </c>
      <c r="D3052" s="14">
        <v>760.72545968400163</v>
      </c>
      <c r="E3052" s="14">
        <v>743.22936320846975</v>
      </c>
      <c r="F3052" s="14">
        <v>583.29737956429528</v>
      </c>
      <c r="G3052" s="14">
        <v>620.5250534667648</v>
      </c>
      <c r="H3052" s="14">
        <v>586.18673202379796</v>
      </c>
      <c r="I3052" s="14">
        <v>601.10552987540586</v>
      </c>
      <c r="J3052" s="14">
        <v>589.16925928855198</v>
      </c>
    </row>
    <row r="3053" spans="1:10" ht="15.75" x14ac:dyDescent="0.5">
      <c r="A3053" s="13" t="s">
        <v>393</v>
      </c>
      <c r="B3053" s="13" t="s">
        <v>413</v>
      </c>
      <c r="C3053" s="13" t="s">
        <v>400</v>
      </c>
      <c r="D3053" s="14">
        <v>23.702927619886136</v>
      </c>
      <c r="E3053" s="14">
        <v>28.606864442054793</v>
      </c>
      <c r="F3053" s="14">
        <v>12.22019001852351</v>
      </c>
      <c r="G3053" s="14">
        <v>4.4022320726542601</v>
      </c>
      <c r="H3053" s="14">
        <v>1.4578468435689689</v>
      </c>
      <c r="I3053" s="14">
        <v>0.20131690340759428</v>
      </c>
      <c r="J3053" s="14" t="s">
        <v>250</v>
      </c>
    </row>
    <row r="3054" spans="1:10" ht="15.75" x14ac:dyDescent="0.5">
      <c r="A3054" s="13" t="s">
        <v>393</v>
      </c>
      <c r="B3054" s="13" t="s">
        <v>414</v>
      </c>
      <c r="C3054" s="13" t="s">
        <v>400</v>
      </c>
      <c r="D3054" s="14">
        <v>0.68039077051095032</v>
      </c>
      <c r="E3054" s="14">
        <v>24.421275596848112</v>
      </c>
      <c r="F3054" s="14">
        <v>100.44232459829325</v>
      </c>
      <c r="G3054" s="14">
        <v>206.63588918690874</v>
      </c>
      <c r="H3054" s="14">
        <v>253.05416583312859</v>
      </c>
      <c r="I3054" s="14">
        <v>254.57233710793182</v>
      </c>
      <c r="J3054" s="14">
        <v>255.74789802398126</v>
      </c>
    </row>
    <row r="3055" spans="1:10" ht="15.75" x14ac:dyDescent="0.5">
      <c r="A3055" s="13" t="s">
        <v>393</v>
      </c>
      <c r="B3055" s="13" t="s">
        <v>415</v>
      </c>
      <c r="C3055" s="13" t="s">
        <v>400</v>
      </c>
      <c r="D3055" s="14">
        <v>440.5312448325555</v>
      </c>
      <c r="E3055" s="14">
        <v>873.81161417244323</v>
      </c>
      <c r="F3055" s="14">
        <v>1348.0703150747236</v>
      </c>
      <c r="G3055" s="14">
        <v>1411.5801586601783</v>
      </c>
      <c r="H3055" s="14">
        <v>1471.8315577751068</v>
      </c>
      <c r="I3055" s="14">
        <v>1585.0382895003042</v>
      </c>
      <c r="J3055" s="14">
        <v>2835.2343506915718</v>
      </c>
    </row>
    <row r="3056" spans="1:10" ht="15.75" x14ac:dyDescent="0.5">
      <c r="A3056" s="13" t="s">
        <v>393</v>
      </c>
      <c r="B3056" s="13" t="s">
        <v>416</v>
      </c>
      <c r="C3056" s="13" t="s">
        <v>400</v>
      </c>
      <c r="D3056" s="14" t="s">
        <v>250</v>
      </c>
      <c r="E3056" s="14">
        <v>70.934498682900724</v>
      </c>
      <c r="F3056" s="14">
        <v>100.195461227937</v>
      </c>
      <c r="G3056" s="14">
        <v>127.6934444772737</v>
      </c>
      <c r="H3056" s="14">
        <v>145.88323771792338</v>
      </c>
      <c r="I3056" s="14">
        <v>165.7790673137323</v>
      </c>
      <c r="J3056" s="14">
        <v>186.2865730549081</v>
      </c>
    </row>
    <row r="3057" spans="1:10" ht="15.75" x14ac:dyDescent="0.5">
      <c r="A3057" s="13" t="s">
        <v>393</v>
      </c>
      <c r="B3057" s="13" t="s">
        <v>417</v>
      </c>
      <c r="C3057" s="13" t="s">
        <v>400</v>
      </c>
      <c r="D3057" s="14">
        <v>187.48709633408694</v>
      </c>
      <c r="E3057" s="14">
        <v>298.36286233429843</v>
      </c>
      <c r="F3057" s="14">
        <v>339.94935565504699</v>
      </c>
      <c r="G3057" s="14">
        <v>459.60910275093482</v>
      </c>
      <c r="H3057" s="14">
        <v>719.80286772030377</v>
      </c>
      <c r="I3057" s="14">
        <v>1537.7967238873096</v>
      </c>
      <c r="J3057" s="14">
        <v>2856.042101870536</v>
      </c>
    </row>
    <row r="3058" spans="1:10" ht="15.75" x14ac:dyDescent="0.5">
      <c r="A3058" s="13" t="s">
        <v>393</v>
      </c>
      <c r="B3058" s="13" t="s">
        <v>418</v>
      </c>
      <c r="C3058" s="13" t="s">
        <v>400</v>
      </c>
      <c r="D3058" s="14">
        <v>3.1841751731019534</v>
      </c>
      <c r="E3058" s="14">
        <v>3.1841751731019534</v>
      </c>
      <c r="F3058" s="14">
        <v>3.184175173101953</v>
      </c>
      <c r="G3058" s="14">
        <v>3.1841751731019534</v>
      </c>
      <c r="H3058" s="14">
        <v>3.1841751731019534</v>
      </c>
      <c r="I3058" s="14">
        <v>3.1841751731019534</v>
      </c>
      <c r="J3058" s="14">
        <v>3.1841751731019534</v>
      </c>
    </row>
    <row r="3059" spans="1:10" ht="15.75" x14ac:dyDescent="0.5">
      <c r="A3059" s="13" t="s">
        <v>393</v>
      </c>
      <c r="B3059" s="13" t="s">
        <v>419</v>
      </c>
      <c r="C3059" s="13" t="s">
        <v>400</v>
      </c>
      <c r="D3059" s="14">
        <v>0.54465920264079504</v>
      </c>
      <c r="E3059" s="14">
        <v>8.9449338690850997</v>
      </c>
      <c r="F3059" s="14">
        <v>19.574685115749215</v>
      </c>
      <c r="G3059" s="14">
        <v>44.691281491792545</v>
      </c>
      <c r="H3059" s="14">
        <v>134.84621547321521</v>
      </c>
      <c r="I3059" s="14">
        <v>331.33768060408187</v>
      </c>
      <c r="J3059" s="14">
        <v>1179.3554000445731</v>
      </c>
    </row>
    <row r="3060" spans="1:10" ht="15.75" x14ac:dyDescent="0.5">
      <c r="A3060" s="13" t="s">
        <v>393</v>
      </c>
      <c r="B3060" s="13" t="s">
        <v>420</v>
      </c>
      <c r="C3060" s="13" t="s">
        <v>400</v>
      </c>
      <c r="D3060" s="14">
        <v>-13.987252957808437</v>
      </c>
      <c r="E3060" s="14">
        <v>-14.013913525562691</v>
      </c>
      <c r="F3060" s="14">
        <v>-12.812713921853248</v>
      </c>
      <c r="G3060" s="14">
        <v>-11.986425138932718</v>
      </c>
      <c r="H3060" s="14">
        <v>-17.967437873659236</v>
      </c>
      <c r="I3060" s="14">
        <v>-18.367641984817411</v>
      </c>
      <c r="J3060" s="14">
        <v>-14.641481050002565</v>
      </c>
    </row>
    <row r="3061" spans="1:10" ht="15.75" x14ac:dyDescent="0.5">
      <c r="A3061" s="13" t="s">
        <v>394</v>
      </c>
      <c r="B3061" s="13" t="s">
        <v>399</v>
      </c>
      <c r="C3061" s="13" t="s">
        <v>400</v>
      </c>
      <c r="D3061" s="14">
        <v>7.2499064625597898</v>
      </c>
      <c r="E3061" s="14">
        <v>0.20898282707145871</v>
      </c>
      <c r="F3061" s="14">
        <v>0.51246000000000103</v>
      </c>
      <c r="G3061" s="14">
        <v>0.33375600000000066</v>
      </c>
      <c r="H3061" s="14">
        <v>0.2757790948905115</v>
      </c>
      <c r="I3061" s="14">
        <v>0.55563603118998595</v>
      </c>
      <c r="J3061" s="14">
        <v>1.4685836496350388</v>
      </c>
    </row>
    <row r="3062" spans="1:10" ht="15.75" x14ac:dyDescent="0.5">
      <c r="A3062" s="13" t="s">
        <v>394</v>
      </c>
      <c r="B3062" s="13" t="s">
        <v>401</v>
      </c>
      <c r="C3062" s="13" t="s">
        <v>400</v>
      </c>
      <c r="D3062" s="14" t="s">
        <v>250</v>
      </c>
      <c r="E3062" s="14" t="s">
        <v>250</v>
      </c>
      <c r="F3062" s="14">
        <v>93.825661448532045</v>
      </c>
      <c r="G3062" s="14">
        <v>93.825661448532031</v>
      </c>
      <c r="H3062" s="14">
        <v>8.8351867582673194</v>
      </c>
      <c r="I3062" s="14">
        <v>7.8614207012803945</v>
      </c>
      <c r="J3062" s="14" t="s">
        <v>250</v>
      </c>
    </row>
    <row r="3063" spans="1:10" ht="15.75" x14ac:dyDescent="0.5">
      <c r="A3063" s="13" t="s">
        <v>394</v>
      </c>
      <c r="B3063" s="13" t="s">
        <v>402</v>
      </c>
      <c r="C3063" s="13" t="s">
        <v>400</v>
      </c>
      <c r="D3063" s="14">
        <v>1072.9916742877463</v>
      </c>
      <c r="E3063" s="14">
        <v>275.68454453913955</v>
      </c>
      <c r="F3063" s="14">
        <v>147.33951797207214</v>
      </c>
      <c r="G3063" s="14">
        <v>127.07435121571693</v>
      </c>
      <c r="H3063" s="14">
        <v>88.457199147760164</v>
      </c>
      <c r="I3063" s="14">
        <v>48.29034977959742</v>
      </c>
      <c r="J3063" s="14" t="s">
        <v>250</v>
      </c>
    </row>
    <row r="3064" spans="1:10" ht="15.75" x14ac:dyDescent="0.5">
      <c r="A3064" s="13" t="s">
        <v>394</v>
      </c>
      <c r="B3064" s="13" t="s">
        <v>403</v>
      </c>
      <c r="C3064" s="13" t="s">
        <v>400</v>
      </c>
      <c r="D3064" s="14" t="s">
        <v>250</v>
      </c>
      <c r="E3064" s="14" t="s">
        <v>250</v>
      </c>
      <c r="F3064" s="14">
        <v>76.692005803043216</v>
      </c>
      <c r="G3064" s="14">
        <v>76.69200580304323</v>
      </c>
      <c r="H3064" s="14">
        <v>15.494448761413814</v>
      </c>
      <c r="I3064" s="14">
        <v>15.494448761413818</v>
      </c>
      <c r="J3064" s="14" t="s">
        <v>250</v>
      </c>
    </row>
    <row r="3065" spans="1:10" ht="15.75" x14ac:dyDescent="0.5">
      <c r="A3065" s="13" t="s">
        <v>394</v>
      </c>
      <c r="B3065" s="13" t="s">
        <v>404</v>
      </c>
      <c r="C3065" s="13" t="s">
        <v>400</v>
      </c>
      <c r="D3065" s="14" t="s">
        <v>250</v>
      </c>
      <c r="E3065" s="14" t="s">
        <v>250</v>
      </c>
      <c r="F3065" s="14" t="s">
        <v>250</v>
      </c>
      <c r="G3065" s="14" t="s">
        <v>250</v>
      </c>
      <c r="H3065" s="14" t="s">
        <v>250</v>
      </c>
      <c r="I3065" s="14">
        <v>0.33069896914528524</v>
      </c>
      <c r="J3065" s="14" t="s">
        <v>250</v>
      </c>
    </row>
    <row r="3066" spans="1:10" ht="15.75" x14ac:dyDescent="0.5">
      <c r="A3066" s="13" t="s">
        <v>394</v>
      </c>
      <c r="B3066" s="13" t="s">
        <v>421</v>
      </c>
      <c r="C3066" s="13" t="s">
        <v>400</v>
      </c>
      <c r="D3066" s="14" t="s">
        <v>250</v>
      </c>
      <c r="E3066" s="14" t="s">
        <v>250</v>
      </c>
      <c r="F3066" s="14" t="s">
        <v>250</v>
      </c>
      <c r="G3066" s="14">
        <v>1039.2861615882125</v>
      </c>
      <c r="H3066" s="14">
        <v>2747.5453425189694</v>
      </c>
      <c r="I3066" s="14">
        <v>2788.2701485214852</v>
      </c>
      <c r="J3066" s="14">
        <v>1271.2889218516707</v>
      </c>
    </row>
    <row r="3067" spans="1:10" ht="15.75" x14ac:dyDescent="0.5">
      <c r="A3067" s="13" t="s">
        <v>394</v>
      </c>
      <c r="B3067" s="13" t="s">
        <v>405</v>
      </c>
      <c r="C3067" s="13" t="s">
        <v>400</v>
      </c>
      <c r="D3067" s="14">
        <v>1259.3891290889949</v>
      </c>
      <c r="E3067" s="14">
        <v>1469.250606347176</v>
      </c>
      <c r="F3067" s="14">
        <v>1499.0200076016406</v>
      </c>
      <c r="G3067" s="14">
        <v>1204.3187246258915</v>
      </c>
      <c r="H3067" s="14">
        <v>573.10553139893534</v>
      </c>
      <c r="I3067" s="14">
        <v>482.12941304565084</v>
      </c>
      <c r="J3067" s="14">
        <v>239.06796590105355</v>
      </c>
    </row>
    <row r="3068" spans="1:10" ht="15.75" x14ac:dyDescent="0.5">
      <c r="A3068" s="13" t="s">
        <v>394</v>
      </c>
      <c r="B3068" s="13" t="s">
        <v>406</v>
      </c>
      <c r="C3068" s="13" t="s">
        <v>400</v>
      </c>
      <c r="D3068" s="14">
        <v>23.479196814299332</v>
      </c>
      <c r="E3068" s="14">
        <v>30.572493971452108</v>
      </c>
      <c r="F3068" s="14">
        <v>45.287658255431708</v>
      </c>
      <c r="G3068" s="14">
        <v>48.423172386473489</v>
      </c>
      <c r="H3068" s="14">
        <v>49.015680283475866</v>
      </c>
      <c r="I3068" s="14">
        <v>46.819746127063986</v>
      </c>
      <c r="J3068" s="14">
        <v>41.581967778666943</v>
      </c>
    </row>
    <row r="3069" spans="1:10" ht="15.75" x14ac:dyDescent="0.5">
      <c r="A3069" s="13" t="s">
        <v>394</v>
      </c>
      <c r="B3069" s="13" t="s">
        <v>407</v>
      </c>
      <c r="C3069" s="13" t="s">
        <v>400</v>
      </c>
      <c r="D3069" s="14" t="s">
        <v>250</v>
      </c>
      <c r="E3069" s="14">
        <v>97.426072354948474</v>
      </c>
      <c r="F3069" s="14">
        <v>95.57345788641598</v>
      </c>
      <c r="G3069" s="14">
        <v>84.808620116033453</v>
      </c>
      <c r="H3069" s="14">
        <v>35.170570686287618</v>
      </c>
      <c r="I3069" s="14">
        <v>27.99736590509259</v>
      </c>
      <c r="J3069" s="14">
        <v>12.18503373743167</v>
      </c>
    </row>
    <row r="3070" spans="1:10" ht="15.75" x14ac:dyDescent="0.5">
      <c r="A3070" s="13" t="s">
        <v>394</v>
      </c>
      <c r="B3070" s="13" t="s">
        <v>408</v>
      </c>
      <c r="C3070" s="13" t="s">
        <v>400</v>
      </c>
      <c r="D3070" s="14">
        <v>46.892290321001227</v>
      </c>
      <c r="E3070" s="14">
        <v>30.114166483663823</v>
      </c>
      <c r="F3070" s="14">
        <v>22.991661653462486</v>
      </c>
      <c r="G3070" s="14">
        <v>26.103948796396754</v>
      </c>
      <c r="H3070" s="14">
        <v>20.114710230664798</v>
      </c>
      <c r="I3070" s="14">
        <v>35.263534563644299</v>
      </c>
      <c r="J3070" s="14">
        <v>42.030531548934128</v>
      </c>
    </row>
    <row r="3071" spans="1:10" ht="15.75" x14ac:dyDescent="0.5">
      <c r="A3071" s="13" t="s">
        <v>394</v>
      </c>
      <c r="B3071" s="13" t="s">
        <v>409</v>
      </c>
      <c r="C3071" s="13" t="s">
        <v>400</v>
      </c>
      <c r="D3071" s="14">
        <v>18.36570427000003</v>
      </c>
      <c r="E3071" s="14">
        <v>18.365704270000034</v>
      </c>
      <c r="F3071" s="14">
        <v>18.365704270000034</v>
      </c>
      <c r="G3071" s="14">
        <v>18.36570427000003</v>
      </c>
      <c r="H3071" s="14">
        <v>18.365704270000034</v>
      </c>
      <c r="I3071" s="14">
        <v>18.365704270000034</v>
      </c>
      <c r="J3071" s="14">
        <v>18.141285163197118</v>
      </c>
    </row>
    <row r="3072" spans="1:10" ht="15.75" x14ac:dyDescent="0.5">
      <c r="A3072" s="13" t="s">
        <v>394</v>
      </c>
      <c r="B3072" s="13" t="s">
        <v>410</v>
      </c>
      <c r="C3072" s="13" t="s">
        <v>400</v>
      </c>
      <c r="D3072" s="14">
        <v>245.79356253202215</v>
      </c>
      <c r="E3072" s="14">
        <v>244.57181802254919</v>
      </c>
      <c r="F3072" s="14">
        <v>245.83291571519186</v>
      </c>
      <c r="G3072" s="14">
        <v>246.15017594139047</v>
      </c>
      <c r="H3072" s="14">
        <v>246.16997594139102</v>
      </c>
      <c r="I3072" s="14">
        <v>246.16997594139266</v>
      </c>
      <c r="J3072" s="14">
        <v>246.16997594137877</v>
      </c>
    </row>
    <row r="3073" spans="1:10" ht="15.75" x14ac:dyDescent="0.5">
      <c r="A3073" s="13" t="s">
        <v>394</v>
      </c>
      <c r="B3073" s="13" t="s">
        <v>411</v>
      </c>
      <c r="C3073" s="13" t="s">
        <v>400</v>
      </c>
      <c r="D3073" s="14">
        <v>7.1394000000000162</v>
      </c>
      <c r="E3073" s="14">
        <v>3.559348905109498</v>
      </c>
      <c r="F3073" s="14" t="s">
        <v>250</v>
      </c>
      <c r="G3073" s="14" t="s">
        <v>250</v>
      </c>
      <c r="H3073" s="14" t="s">
        <v>250</v>
      </c>
      <c r="I3073" s="14" t="s">
        <v>250</v>
      </c>
      <c r="J3073" s="14" t="s">
        <v>250</v>
      </c>
    </row>
    <row r="3074" spans="1:10" ht="15.75" x14ac:dyDescent="0.5">
      <c r="A3074" s="13" t="s">
        <v>394</v>
      </c>
      <c r="B3074" s="13" t="s">
        <v>412</v>
      </c>
      <c r="C3074" s="13" t="s">
        <v>400</v>
      </c>
      <c r="D3074" s="14">
        <v>760.72545968400186</v>
      </c>
      <c r="E3074" s="14">
        <v>743.22936320122494</v>
      </c>
      <c r="F3074" s="14">
        <v>583.29737956930842</v>
      </c>
      <c r="G3074" s="14">
        <v>620.52505355731785</v>
      </c>
      <c r="H3074" s="14">
        <v>586.18673282377779</v>
      </c>
      <c r="I3074" s="14">
        <v>601.10552987893254</v>
      </c>
      <c r="J3074" s="14">
        <v>589.16925926519832</v>
      </c>
    </row>
    <row r="3075" spans="1:10" ht="15.75" x14ac:dyDescent="0.5">
      <c r="A3075" s="13" t="s">
        <v>394</v>
      </c>
      <c r="B3075" s="13" t="s">
        <v>413</v>
      </c>
      <c r="C3075" s="13" t="s">
        <v>400</v>
      </c>
      <c r="D3075" s="14">
        <v>23.702927619886133</v>
      </c>
      <c r="E3075" s="14">
        <v>28.606865024093803</v>
      </c>
      <c r="F3075" s="14">
        <v>12.220189452331208</v>
      </c>
      <c r="G3075" s="14">
        <v>4.4022320680835172</v>
      </c>
      <c r="H3075" s="14">
        <v>1.4578467118385841</v>
      </c>
      <c r="I3075" s="14">
        <v>0.20131683753064877</v>
      </c>
      <c r="J3075" s="14" t="s">
        <v>250</v>
      </c>
    </row>
    <row r="3076" spans="1:10" ht="15.75" x14ac:dyDescent="0.5">
      <c r="A3076" s="13" t="s">
        <v>394</v>
      </c>
      <c r="B3076" s="13" t="s">
        <v>414</v>
      </c>
      <c r="C3076" s="13" t="s">
        <v>400</v>
      </c>
      <c r="D3076" s="14">
        <v>0.6803907705109502</v>
      </c>
      <c r="E3076" s="14">
        <v>24.421275607820977</v>
      </c>
      <c r="F3076" s="14">
        <v>100.44232462894858</v>
      </c>
      <c r="G3076" s="14">
        <v>206.63588918690874</v>
      </c>
      <c r="H3076" s="14">
        <v>253.05416583312854</v>
      </c>
      <c r="I3076" s="14">
        <v>254.57233710793184</v>
      </c>
      <c r="J3076" s="14">
        <v>255.74789802398124</v>
      </c>
    </row>
    <row r="3077" spans="1:10" ht="15.75" x14ac:dyDescent="0.5">
      <c r="A3077" s="13" t="s">
        <v>394</v>
      </c>
      <c r="B3077" s="13" t="s">
        <v>415</v>
      </c>
      <c r="C3077" s="13" t="s">
        <v>400</v>
      </c>
      <c r="D3077" s="14">
        <v>440.53124483255556</v>
      </c>
      <c r="E3077" s="14">
        <v>873.81161417244311</v>
      </c>
      <c r="F3077" s="14">
        <v>1348.0703150744876</v>
      </c>
      <c r="G3077" s="14">
        <v>1411.5801585571451</v>
      </c>
      <c r="H3077" s="14">
        <v>1471.8315571478283</v>
      </c>
      <c r="I3077" s="14">
        <v>1585.038290734976</v>
      </c>
      <c r="J3077" s="14">
        <v>2835.2343459672884</v>
      </c>
    </row>
    <row r="3078" spans="1:10" ht="15.75" x14ac:dyDescent="0.5">
      <c r="A3078" s="13" t="s">
        <v>394</v>
      </c>
      <c r="B3078" s="13" t="s">
        <v>416</v>
      </c>
      <c r="C3078" s="13" t="s">
        <v>400</v>
      </c>
      <c r="D3078" s="14" t="s">
        <v>250</v>
      </c>
      <c r="E3078" s="14">
        <v>70.934498682900738</v>
      </c>
      <c r="F3078" s="14">
        <v>100.19546122793703</v>
      </c>
      <c r="G3078" s="14">
        <v>127.69344447727377</v>
      </c>
      <c r="H3078" s="14">
        <v>145.88323771792344</v>
      </c>
      <c r="I3078" s="14">
        <v>165.7790673137323</v>
      </c>
      <c r="J3078" s="14">
        <v>186.28657305490805</v>
      </c>
    </row>
    <row r="3079" spans="1:10" ht="15.75" x14ac:dyDescent="0.5">
      <c r="A3079" s="13" t="s">
        <v>394</v>
      </c>
      <c r="B3079" s="13" t="s">
        <v>417</v>
      </c>
      <c r="C3079" s="13" t="s">
        <v>400</v>
      </c>
      <c r="D3079" s="14">
        <v>187.48709633408697</v>
      </c>
      <c r="E3079" s="14">
        <v>298.36286233429848</v>
      </c>
      <c r="F3079" s="14">
        <v>339.94935565504693</v>
      </c>
      <c r="G3079" s="14">
        <v>459.60910650920562</v>
      </c>
      <c r="H3079" s="14">
        <v>719.80287392013747</v>
      </c>
      <c r="I3079" s="14">
        <v>1537.7967228985844</v>
      </c>
      <c r="J3079" s="14">
        <v>2856.0421005626722</v>
      </c>
    </row>
    <row r="3080" spans="1:10" ht="15.75" x14ac:dyDescent="0.5">
      <c r="A3080" s="13" t="s">
        <v>394</v>
      </c>
      <c r="B3080" s="13" t="s">
        <v>418</v>
      </c>
      <c r="C3080" s="13" t="s">
        <v>400</v>
      </c>
      <c r="D3080" s="14">
        <v>3.1841751731019534</v>
      </c>
      <c r="E3080" s="14">
        <v>3.184175173101953</v>
      </c>
      <c r="F3080" s="14">
        <v>3.1841751731019534</v>
      </c>
      <c r="G3080" s="14">
        <v>3.1841751731019534</v>
      </c>
      <c r="H3080" s="14">
        <v>3.184175173101953</v>
      </c>
      <c r="I3080" s="14">
        <v>3.1841751731019534</v>
      </c>
      <c r="J3080" s="14">
        <v>3.184175173101953</v>
      </c>
    </row>
    <row r="3081" spans="1:10" ht="15.75" x14ac:dyDescent="0.5">
      <c r="A3081" s="13" t="s">
        <v>394</v>
      </c>
      <c r="B3081" s="13" t="s">
        <v>419</v>
      </c>
      <c r="C3081" s="13" t="s">
        <v>400</v>
      </c>
      <c r="D3081" s="14">
        <v>0.54465920264079493</v>
      </c>
      <c r="E3081" s="14">
        <v>8.9449337093499821</v>
      </c>
      <c r="F3081" s="14">
        <v>19.574636079838182</v>
      </c>
      <c r="G3081" s="14">
        <v>44.688009760251134</v>
      </c>
      <c r="H3081" s="14">
        <v>134.84621632447644</v>
      </c>
      <c r="I3081" s="14">
        <v>331.33768161490741</v>
      </c>
      <c r="J3081" s="14">
        <v>1179.3553957559034</v>
      </c>
    </row>
    <row r="3082" spans="1:10" ht="15.75" x14ac:dyDescent="0.5">
      <c r="A3082" s="13" t="s">
        <v>394</v>
      </c>
      <c r="B3082" s="13" t="s">
        <v>420</v>
      </c>
      <c r="C3082" s="13" t="s">
        <v>400</v>
      </c>
      <c r="D3082" s="14">
        <v>-13.98725295780835</v>
      </c>
      <c r="E3082" s="14">
        <v>-14.013913512434605</v>
      </c>
      <c r="F3082" s="14">
        <v>-12.812347558099969</v>
      </c>
      <c r="G3082" s="14">
        <v>-11.986066506591746</v>
      </c>
      <c r="H3082" s="14">
        <v>-17.967452201793993</v>
      </c>
      <c r="I3082" s="14">
        <v>-18.367641876623928</v>
      </c>
      <c r="J3082" s="14">
        <v>-14.644814775550339</v>
      </c>
    </row>
    <row r="3083" spans="1:10" ht="15.75" x14ac:dyDescent="0.5">
      <c r="A3083" s="13" t="s">
        <v>395</v>
      </c>
      <c r="B3083" s="13" t="s">
        <v>399</v>
      </c>
      <c r="C3083" s="13" t="s">
        <v>400</v>
      </c>
      <c r="D3083" s="14">
        <v>7.2499064625597889</v>
      </c>
      <c r="E3083" s="14">
        <v>0.20898282707147087</v>
      </c>
      <c r="F3083" s="14">
        <v>0.51246000000000114</v>
      </c>
      <c r="G3083" s="14">
        <v>0.33375600000000066</v>
      </c>
      <c r="H3083" s="14">
        <v>0.26283847067503313</v>
      </c>
      <c r="I3083" s="14">
        <v>0.27590044934294594</v>
      </c>
      <c r="J3083" s="14">
        <v>0.89265157352184688</v>
      </c>
    </row>
    <row r="3084" spans="1:10" ht="15.75" x14ac:dyDescent="0.5">
      <c r="A3084" s="13" t="s">
        <v>395</v>
      </c>
      <c r="B3084" s="13" t="s">
        <v>401</v>
      </c>
      <c r="C3084" s="13" t="s">
        <v>400</v>
      </c>
      <c r="D3084" s="14" t="s">
        <v>250</v>
      </c>
      <c r="E3084" s="14" t="s">
        <v>250</v>
      </c>
      <c r="F3084" s="14">
        <v>94.060095905013711</v>
      </c>
      <c r="G3084" s="14">
        <v>94.060095905013682</v>
      </c>
      <c r="H3084" s="14">
        <v>8.7248869572283798</v>
      </c>
      <c r="I3084" s="14">
        <v>7.8123404275464496</v>
      </c>
      <c r="J3084" s="14" t="s">
        <v>250</v>
      </c>
    </row>
    <row r="3085" spans="1:10" ht="15.75" x14ac:dyDescent="0.5">
      <c r="A3085" s="13" t="s">
        <v>395</v>
      </c>
      <c r="B3085" s="13" t="s">
        <v>402</v>
      </c>
      <c r="C3085" s="13" t="s">
        <v>400</v>
      </c>
      <c r="D3085" s="14">
        <v>1072.991674287746</v>
      </c>
      <c r="E3085" s="14">
        <v>275.41226007408187</v>
      </c>
      <c r="F3085" s="14">
        <v>146.94055927873842</v>
      </c>
      <c r="G3085" s="14">
        <v>127.96230446238818</v>
      </c>
      <c r="H3085" s="14">
        <v>88.234686314935075</v>
      </c>
      <c r="I3085" s="14">
        <v>49.554662991024301</v>
      </c>
      <c r="J3085" s="14" t="s">
        <v>250</v>
      </c>
    </row>
    <row r="3086" spans="1:10" ht="15.75" x14ac:dyDescent="0.5">
      <c r="A3086" s="13" t="s">
        <v>395</v>
      </c>
      <c r="B3086" s="13" t="s">
        <v>403</v>
      </c>
      <c r="C3086" s="13" t="s">
        <v>400</v>
      </c>
      <c r="D3086" s="14" t="s">
        <v>250</v>
      </c>
      <c r="E3086" s="14" t="s">
        <v>250</v>
      </c>
      <c r="F3086" s="14">
        <v>80.484504597826543</v>
      </c>
      <c r="G3086" s="14">
        <v>80.484504597826557</v>
      </c>
      <c r="H3086" s="14">
        <v>16.25364359610975</v>
      </c>
      <c r="I3086" s="14">
        <v>16.253643596109747</v>
      </c>
      <c r="J3086" s="14" t="s">
        <v>250</v>
      </c>
    </row>
    <row r="3087" spans="1:10" ht="15.75" x14ac:dyDescent="0.5">
      <c r="A3087" s="13" t="s">
        <v>395</v>
      </c>
      <c r="B3087" s="13" t="s">
        <v>404</v>
      </c>
      <c r="C3087" s="13" t="s">
        <v>400</v>
      </c>
      <c r="D3087" s="14" t="s">
        <v>250</v>
      </c>
      <c r="E3087" s="14" t="s">
        <v>250</v>
      </c>
      <c r="F3087" s="14" t="s">
        <v>250</v>
      </c>
      <c r="G3087" s="14" t="s">
        <v>250</v>
      </c>
      <c r="H3087" s="14" t="s">
        <v>250</v>
      </c>
      <c r="I3087" s="14">
        <v>0.33069896914528535</v>
      </c>
      <c r="J3087" s="14" t="s">
        <v>250</v>
      </c>
    </row>
    <row r="3088" spans="1:10" ht="15.75" x14ac:dyDescent="0.5">
      <c r="A3088" s="13" t="s">
        <v>395</v>
      </c>
      <c r="B3088" s="13" t="s">
        <v>421</v>
      </c>
      <c r="C3088" s="13" t="s">
        <v>400</v>
      </c>
      <c r="D3088" s="14" t="s">
        <v>250</v>
      </c>
      <c r="E3088" s="14" t="s">
        <v>250</v>
      </c>
      <c r="F3088" s="14" t="s">
        <v>250</v>
      </c>
      <c r="G3088" s="14">
        <v>1030.4030512386848</v>
      </c>
      <c r="H3088" s="14">
        <v>2733.4364884019856</v>
      </c>
      <c r="I3088" s="14">
        <v>2780.3743122205246</v>
      </c>
      <c r="J3088" s="14">
        <v>542.64606803496974</v>
      </c>
    </row>
    <row r="3089" spans="1:10" ht="15.75" x14ac:dyDescent="0.5">
      <c r="A3089" s="13" t="s">
        <v>395</v>
      </c>
      <c r="B3089" s="13" t="s">
        <v>405</v>
      </c>
      <c r="C3089" s="13" t="s">
        <v>400</v>
      </c>
      <c r="D3089" s="14">
        <v>1259.3891290889951</v>
      </c>
      <c r="E3089" s="14">
        <v>1469.6866324281336</v>
      </c>
      <c r="F3089" s="14">
        <v>1497.8034173552196</v>
      </c>
      <c r="G3089" s="14">
        <v>1211.8442806951653</v>
      </c>
      <c r="H3089" s="14">
        <v>551.57219222337164</v>
      </c>
      <c r="I3089" s="14">
        <v>474.03407062134045</v>
      </c>
      <c r="J3089" s="14">
        <v>252.9142895492856</v>
      </c>
    </row>
    <row r="3090" spans="1:10" ht="15.75" x14ac:dyDescent="0.5">
      <c r="A3090" s="13" t="s">
        <v>395</v>
      </c>
      <c r="B3090" s="13" t="s">
        <v>406</v>
      </c>
      <c r="C3090" s="13" t="s">
        <v>400</v>
      </c>
      <c r="D3090" s="14">
        <v>23.479196814299335</v>
      </c>
      <c r="E3090" s="14">
        <v>30.356958458602129</v>
      </c>
      <c r="F3090" s="14">
        <v>45.410425414078922</v>
      </c>
      <c r="G3090" s="14">
        <v>49.641334674543472</v>
      </c>
      <c r="H3090" s="14">
        <v>50.987213789710886</v>
      </c>
      <c r="I3090" s="14">
        <v>49.15098724403957</v>
      </c>
      <c r="J3090" s="14">
        <v>44.572825795524906</v>
      </c>
    </row>
    <row r="3091" spans="1:10" ht="15.75" x14ac:dyDescent="0.5">
      <c r="A3091" s="13" t="s">
        <v>395</v>
      </c>
      <c r="B3091" s="13" t="s">
        <v>407</v>
      </c>
      <c r="C3091" s="13" t="s">
        <v>400</v>
      </c>
      <c r="D3091" s="14" t="s">
        <v>250</v>
      </c>
      <c r="E3091" s="14">
        <v>96.756209707808466</v>
      </c>
      <c r="F3091" s="14">
        <v>95.914712773885981</v>
      </c>
      <c r="G3091" s="14">
        <v>82.328074258146529</v>
      </c>
      <c r="H3091" s="14">
        <v>36.751990302464264</v>
      </c>
      <c r="I3091" s="14">
        <v>20.436034831988348</v>
      </c>
      <c r="J3091" s="14">
        <v>11.856377795992334</v>
      </c>
    </row>
    <row r="3092" spans="1:10" ht="15.75" x14ac:dyDescent="0.5">
      <c r="A3092" s="13" t="s">
        <v>395</v>
      </c>
      <c r="B3092" s="13" t="s">
        <v>408</v>
      </c>
      <c r="C3092" s="13" t="s">
        <v>400</v>
      </c>
      <c r="D3092" s="14">
        <v>46.892290321001234</v>
      </c>
      <c r="E3092" s="14">
        <v>30.175678121317567</v>
      </c>
      <c r="F3092" s="14">
        <v>22.979883288356767</v>
      </c>
      <c r="G3092" s="14">
        <v>26.567082190699086</v>
      </c>
      <c r="H3092" s="14">
        <v>19.218198048476889</v>
      </c>
      <c r="I3092" s="14">
        <v>33.833699190306731</v>
      </c>
      <c r="J3092" s="14">
        <v>39.656572436110956</v>
      </c>
    </row>
    <row r="3093" spans="1:10" ht="15.75" x14ac:dyDescent="0.5">
      <c r="A3093" s="13" t="s">
        <v>395</v>
      </c>
      <c r="B3093" s="13" t="s">
        <v>409</v>
      </c>
      <c r="C3093" s="13" t="s">
        <v>400</v>
      </c>
      <c r="D3093" s="14">
        <v>18.365704270000034</v>
      </c>
      <c r="E3093" s="14">
        <v>18.36570427000003</v>
      </c>
      <c r="F3093" s="14">
        <v>18.36570427000003</v>
      </c>
      <c r="G3093" s="14">
        <v>18.36570427000003</v>
      </c>
      <c r="H3093" s="14">
        <v>18.365704270000037</v>
      </c>
      <c r="I3093" s="14">
        <v>18.365704270000037</v>
      </c>
      <c r="J3093" s="14">
        <v>18.365704270000037</v>
      </c>
    </row>
    <row r="3094" spans="1:10" ht="15.75" x14ac:dyDescent="0.5">
      <c r="A3094" s="13" t="s">
        <v>395</v>
      </c>
      <c r="B3094" s="13" t="s">
        <v>410</v>
      </c>
      <c r="C3094" s="13" t="s">
        <v>400</v>
      </c>
      <c r="D3094" s="14">
        <v>245.79356253202218</v>
      </c>
      <c r="E3094" s="14">
        <v>244.57607934462811</v>
      </c>
      <c r="F3094" s="14">
        <v>245.91859464574463</v>
      </c>
      <c r="G3094" s="14">
        <v>246.14973280241276</v>
      </c>
      <c r="H3094" s="14">
        <v>246.16997594128659</v>
      </c>
      <c r="I3094" s="14">
        <v>246.16997594139255</v>
      </c>
      <c r="J3094" s="14">
        <v>246.16997594139102</v>
      </c>
    </row>
    <row r="3095" spans="1:10" ht="15.75" x14ac:dyDescent="0.5">
      <c r="A3095" s="13" t="s">
        <v>395</v>
      </c>
      <c r="B3095" s="13" t="s">
        <v>411</v>
      </c>
      <c r="C3095" s="13" t="s">
        <v>400</v>
      </c>
      <c r="D3095" s="14">
        <v>7.1394000000000197</v>
      </c>
      <c r="E3095" s="14">
        <v>3.5593489051094971</v>
      </c>
      <c r="F3095" s="14" t="s">
        <v>250</v>
      </c>
      <c r="G3095" s="14" t="s">
        <v>250</v>
      </c>
      <c r="H3095" s="14" t="s">
        <v>250</v>
      </c>
      <c r="I3095" s="14" t="s">
        <v>250</v>
      </c>
      <c r="J3095" s="14" t="s">
        <v>250</v>
      </c>
    </row>
    <row r="3096" spans="1:10" ht="15.75" x14ac:dyDescent="0.5">
      <c r="A3096" s="13" t="s">
        <v>395</v>
      </c>
      <c r="B3096" s="13" t="s">
        <v>412</v>
      </c>
      <c r="C3096" s="13" t="s">
        <v>400</v>
      </c>
      <c r="D3096" s="14">
        <v>760.72545968400163</v>
      </c>
      <c r="E3096" s="14">
        <v>743.49506954273977</v>
      </c>
      <c r="F3096" s="14">
        <v>580.17244640883291</v>
      </c>
      <c r="G3096" s="14">
        <v>617.65071875031481</v>
      </c>
      <c r="H3096" s="14">
        <v>650.49831793400267</v>
      </c>
      <c r="I3096" s="14">
        <v>791.23543697987543</v>
      </c>
      <c r="J3096" s="14">
        <v>1964.7417963254716</v>
      </c>
    </row>
    <row r="3097" spans="1:10" ht="15.75" x14ac:dyDescent="0.5">
      <c r="A3097" s="13" t="s">
        <v>395</v>
      </c>
      <c r="B3097" s="13" t="s">
        <v>413</v>
      </c>
      <c r="C3097" s="13" t="s">
        <v>400</v>
      </c>
      <c r="D3097" s="14">
        <v>23.702927619886133</v>
      </c>
      <c r="E3097" s="14">
        <v>28.682575054721681</v>
      </c>
      <c r="F3097" s="14">
        <v>12.548251727608132</v>
      </c>
      <c r="G3097" s="14">
        <v>4.2231754769883256</v>
      </c>
      <c r="H3097" s="14">
        <v>1.3625429454519271</v>
      </c>
      <c r="I3097" s="14">
        <v>0.23860405487873043</v>
      </c>
      <c r="J3097" s="14" t="s">
        <v>250</v>
      </c>
    </row>
    <row r="3098" spans="1:10" ht="15.75" x14ac:dyDescent="0.5">
      <c r="A3098" s="13" t="s">
        <v>395</v>
      </c>
      <c r="B3098" s="13" t="s">
        <v>414</v>
      </c>
      <c r="C3098" s="13" t="s">
        <v>400</v>
      </c>
      <c r="D3098" s="14">
        <v>0.6803907705109502</v>
      </c>
      <c r="E3098" s="14">
        <v>24.423000184058683</v>
      </c>
      <c r="F3098" s="14">
        <v>100.48260300410944</v>
      </c>
      <c r="G3098" s="14">
        <v>206.73347957957134</v>
      </c>
      <c r="H3098" s="14">
        <v>253.15263072502</v>
      </c>
      <c r="I3098" s="14">
        <v>254.67145322265327</v>
      </c>
      <c r="J3098" s="14">
        <v>255.84751651059995</v>
      </c>
    </row>
    <row r="3099" spans="1:10" ht="15.75" x14ac:dyDescent="0.5">
      <c r="A3099" s="13" t="s">
        <v>395</v>
      </c>
      <c r="B3099" s="13" t="s">
        <v>415</v>
      </c>
      <c r="C3099" s="13" t="s">
        <v>400</v>
      </c>
      <c r="D3099" s="14">
        <v>440.53124483255561</v>
      </c>
      <c r="E3099" s="14">
        <v>873.81161417244334</v>
      </c>
      <c r="F3099" s="14">
        <v>1346.0839461432868</v>
      </c>
      <c r="G3099" s="14">
        <v>1406.5916676607987</v>
      </c>
      <c r="H3099" s="14">
        <v>1457.2562964888275</v>
      </c>
      <c r="I3099" s="14">
        <v>1538.5774522481343</v>
      </c>
      <c r="J3099" s="14">
        <v>2640.5638767545729</v>
      </c>
    </row>
    <row r="3100" spans="1:10" ht="15.75" x14ac:dyDescent="0.5">
      <c r="A3100" s="13" t="s">
        <v>395</v>
      </c>
      <c r="B3100" s="13" t="s">
        <v>416</v>
      </c>
      <c r="C3100" s="13" t="s">
        <v>400</v>
      </c>
      <c r="D3100" s="14" t="s">
        <v>250</v>
      </c>
      <c r="E3100" s="14">
        <v>70.93449868290071</v>
      </c>
      <c r="F3100" s="14">
        <v>100.195461227937</v>
      </c>
      <c r="G3100" s="14">
        <v>127.69344447727374</v>
      </c>
      <c r="H3100" s="14">
        <v>145.88323771792335</v>
      </c>
      <c r="I3100" s="14">
        <v>165.77906731373224</v>
      </c>
      <c r="J3100" s="14">
        <v>186.28657305490813</v>
      </c>
    </row>
    <row r="3101" spans="1:10" ht="15.75" x14ac:dyDescent="0.5">
      <c r="A3101" s="13" t="s">
        <v>395</v>
      </c>
      <c r="B3101" s="13" t="s">
        <v>417</v>
      </c>
      <c r="C3101" s="13" t="s">
        <v>400</v>
      </c>
      <c r="D3101" s="14">
        <v>187.48709633408689</v>
      </c>
      <c r="E3101" s="14">
        <v>298.36286233429843</v>
      </c>
      <c r="F3101" s="14">
        <v>339.94935565504693</v>
      </c>
      <c r="G3101" s="14">
        <v>465.99722645912908</v>
      </c>
      <c r="H3101" s="14">
        <v>684.45554690449183</v>
      </c>
      <c r="I3101" s="14">
        <v>1391.8222570252763</v>
      </c>
      <c r="J3101" s="14">
        <v>2283.6694515932772</v>
      </c>
    </row>
    <row r="3102" spans="1:10" ht="15.75" x14ac:dyDescent="0.5">
      <c r="A3102" s="13" t="s">
        <v>395</v>
      </c>
      <c r="B3102" s="13" t="s">
        <v>418</v>
      </c>
      <c r="C3102" s="13" t="s">
        <v>400</v>
      </c>
      <c r="D3102" s="14">
        <v>3.1841751731019534</v>
      </c>
      <c r="E3102" s="14">
        <v>3.1841751731019539</v>
      </c>
      <c r="F3102" s="14">
        <v>3.1841751731019534</v>
      </c>
      <c r="G3102" s="14">
        <v>3.184175173101953</v>
      </c>
      <c r="H3102" s="14">
        <v>3.1841751731019534</v>
      </c>
      <c r="I3102" s="14">
        <v>3.1841751731019534</v>
      </c>
      <c r="J3102" s="14">
        <v>3.184175173101953</v>
      </c>
    </row>
    <row r="3103" spans="1:10" ht="15.75" x14ac:dyDescent="0.5">
      <c r="A3103" s="13" t="s">
        <v>395</v>
      </c>
      <c r="B3103" s="13" t="s">
        <v>419</v>
      </c>
      <c r="C3103" s="13" t="s">
        <v>400</v>
      </c>
      <c r="D3103" s="14">
        <v>0.54465920264079493</v>
      </c>
      <c r="E3103" s="14">
        <v>8.986639357203444</v>
      </c>
      <c r="F3103" s="14">
        <v>19.362327558267054</v>
      </c>
      <c r="G3103" s="14">
        <v>44.646475804935875</v>
      </c>
      <c r="H3103" s="14">
        <v>118.48849489429958</v>
      </c>
      <c r="I3103" s="14">
        <v>247.98908521801309</v>
      </c>
      <c r="J3103" s="14">
        <v>661.12877092079998</v>
      </c>
    </row>
    <row r="3104" spans="1:10" ht="15.75" x14ac:dyDescent="0.5">
      <c r="A3104" s="13" t="s">
        <v>395</v>
      </c>
      <c r="B3104" s="13" t="s">
        <v>420</v>
      </c>
      <c r="C3104" s="13" t="s">
        <v>400</v>
      </c>
      <c r="D3104" s="14">
        <v>-13.987252957808359</v>
      </c>
      <c r="E3104" s="14">
        <v>-13.980303205471575</v>
      </c>
      <c r="F3104" s="14">
        <v>-12.761416030883197</v>
      </c>
      <c r="G3104" s="14">
        <v>-12.060159028913262</v>
      </c>
      <c r="H3104" s="14">
        <v>-17.803416476952481</v>
      </c>
      <c r="I3104" s="14">
        <v>-17.47400223659416</v>
      </c>
      <c r="J3104" s="14">
        <v>-16.349686699216804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22</v>
      </c>
      <c r="CJ1" t="s">
        <v>23</v>
      </c>
      <c r="CK1" t="s">
        <v>8</v>
      </c>
    </row>
    <row r="2" spans="1:89" x14ac:dyDescent="0.45">
      <c r="A2" t="s">
        <v>24</v>
      </c>
      <c r="B2" t="s">
        <v>0</v>
      </c>
      <c r="C2" t="s">
        <v>46</v>
      </c>
      <c r="D2" t="s">
        <v>47</v>
      </c>
      <c r="E2" t="s">
        <v>48</v>
      </c>
      <c r="F2">
        <v>0</v>
      </c>
      <c r="K2">
        <v>0</v>
      </c>
      <c r="P2">
        <v>0</v>
      </c>
      <c r="U2">
        <v>43.261200000000002</v>
      </c>
      <c r="Z2">
        <v>113.5538</v>
      </c>
      <c r="AE2">
        <v>188.36539999999999</v>
      </c>
      <c r="AJ2">
        <v>295.85820000000001</v>
      </c>
      <c r="CI2" t="s">
        <v>47</v>
      </c>
      <c r="CJ2" t="s">
        <v>49</v>
      </c>
    </row>
    <row r="3" spans="1:89" x14ac:dyDescent="0.45">
      <c r="A3" t="s">
        <v>24</v>
      </c>
      <c r="B3" t="s">
        <v>2</v>
      </c>
      <c r="C3" t="s">
        <v>46</v>
      </c>
      <c r="D3" t="s">
        <v>47</v>
      </c>
      <c r="E3" t="s">
        <v>48</v>
      </c>
      <c r="F3">
        <v>0</v>
      </c>
      <c r="K3">
        <v>0</v>
      </c>
      <c r="P3">
        <v>0</v>
      </c>
      <c r="U3">
        <v>12.667199999999999</v>
      </c>
      <c r="Z3">
        <v>31.706199999999999</v>
      </c>
      <c r="AE3">
        <v>71.197800000000001</v>
      </c>
      <c r="AJ3">
        <v>106.4661</v>
      </c>
      <c r="CI3" t="s">
        <v>47</v>
      </c>
      <c r="CJ3" t="s">
        <v>49</v>
      </c>
    </row>
    <row r="4" spans="1:89" x14ac:dyDescent="0.45">
      <c r="A4" t="s">
        <v>24</v>
      </c>
      <c r="B4" t="s">
        <v>1</v>
      </c>
      <c r="C4" t="s">
        <v>46</v>
      </c>
      <c r="D4" t="s">
        <v>47</v>
      </c>
      <c r="E4" t="s">
        <v>48</v>
      </c>
      <c r="F4">
        <v>0</v>
      </c>
      <c r="K4">
        <v>0</v>
      </c>
      <c r="P4">
        <v>213.22739999999999</v>
      </c>
      <c r="U4">
        <v>244.25659999999999</v>
      </c>
      <c r="Z4">
        <v>222.36619999999999</v>
      </c>
      <c r="AE4">
        <v>324.7688</v>
      </c>
      <c r="AJ4">
        <v>295.0283</v>
      </c>
      <c r="CI4" t="s">
        <v>47</v>
      </c>
      <c r="CJ4" t="s">
        <v>49</v>
      </c>
    </row>
    <row r="5" spans="1:89" x14ac:dyDescent="0.45">
      <c r="A5" t="s">
        <v>24</v>
      </c>
      <c r="B5" t="s">
        <v>4</v>
      </c>
      <c r="C5" t="s">
        <v>46</v>
      </c>
      <c r="D5" t="s">
        <v>47</v>
      </c>
      <c r="E5" t="s">
        <v>48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47</v>
      </c>
      <c r="CJ5" t="s">
        <v>49</v>
      </c>
    </row>
    <row r="6" spans="1:89" x14ac:dyDescent="0.45">
      <c r="A6" t="s">
        <v>24</v>
      </c>
      <c r="B6" t="s">
        <v>6</v>
      </c>
      <c r="C6" t="s">
        <v>46</v>
      </c>
      <c r="D6" t="s">
        <v>47</v>
      </c>
      <c r="E6" t="s">
        <v>48</v>
      </c>
      <c r="F6">
        <v>0</v>
      </c>
      <c r="K6">
        <v>0</v>
      </c>
      <c r="P6">
        <v>0</v>
      </c>
      <c r="U6">
        <v>12.634600000000001</v>
      </c>
      <c r="Z6">
        <v>42.2288</v>
      </c>
      <c r="AE6">
        <v>108.2948</v>
      </c>
      <c r="AJ6">
        <v>206.87100000000001</v>
      </c>
      <c r="CI6" t="s">
        <v>47</v>
      </c>
      <c r="CJ6" t="s">
        <v>49</v>
      </c>
    </row>
    <row r="7" spans="1:89" x14ac:dyDescent="0.45">
      <c r="A7" t="s">
        <v>24</v>
      </c>
      <c r="B7" t="s">
        <v>5</v>
      </c>
      <c r="C7" t="s">
        <v>46</v>
      </c>
      <c r="D7" t="s">
        <v>47</v>
      </c>
      <c r="E7" t="s">
        <v>48</v>
      </c>
      <c r="F7">
        <v>0</v>
      </c>
      <c r="K7">
        <v>0</v>
      </c>
      <c r="P7">
        <v>135.07660000000001</v>
      </c>
      <c r="U7">
        <v>199.6585</v>
      </c>
      <c r="Z7">
        <v>245.0718</v>
      </c>
      <c r="AE7">
        <v>387.81760000000003</v>
      </c>
      <c r="AJ7">
        <v>554.16380000000004</v>
      </c>
      <c r="CI7" t="s">
        <v>47</v>
      </c>
      <c r="CJ7" t="s">
        <v>49</v>
      </c>
    </row>
    <row r="8" spans="1:89" x14ac:dyDescent="0.45">
      <c r="A8" t="s">
        <v>24</v>
      </c>
      <c r="B8" t="s">
        <v>3</v>
      </c>
      <c r="C8" t="s">
        <v>46</v>
      </c>
      <c r="D8" t="s">
        <v>47</v>
      </c>
      <c r="E8" t="s">
        <v>48</v>
      </c>
      <c r="F8">
        <v>0</v>
      </c>
      <c r="K8">
        <v>0</v>
      </c>
      <c r="P8">
        <v>12.654999999999999</v>
      </c>
      <c r="U8">
        <v>50.764099999999999</v>
      </c>
      <c r="Z8">
        <v>87.387500000000003</v>
      </c>
      <c r="AE8">
        <v>168.45259999999999</v>
      </c>
      <c r="AJ8">
        <v>277.5609</v>
      </c>
      <c r="CI8" t="s">
        <v>47</v>
      </c>
      <c r="CJ8" t="s">
        <v>49</v>
      </c>
    </row>
    <row r="9" spans="1:89" x14ac:dyDescent="0.45">
      <c r="A9" t="s">
        <v>24</v>
      </c>
      <c r="B9" t="s">
        <v>6</v>
      </c>
      <c r="C9" t="s">
        <v>46</v>
      </c>
      <c r="D9" t="s">
        <v>50</v>
      </c>
      <c r="E9" t="s">
        <v>26</v>
      </c>
      <c r="F9">
        <v>16.714099999999998</v>
      </c>
      <c r="K9">
        <v>17.470199999999998</v>
      </c>
      <c r="P9">
        <v>17.976199999999999</v>
      </c>
      <c r="U9">
        <v>19.6737</v>
      </c>
      <c r="Z9">
        <v>20.252099999999999</v>
      </c>
      <c r="AE9">
        <v>21.2821</v>
      </c>
      <c r="AJ9">
        <v>23.024000000000001</v>
      </c>
      <c r="CI9" t="s">
        <v>50</v>
      </c>
      <c r="CJ9" t="s">
        <v>51</v>
      </c>
    </row>
    <row r="10" spans="1:89" x14ac:dyDescent="0.45">
      <c r="A10" t="s">
        <v>24</v>
      </c>
      <c r="B10" t="s">
        <v>4</v>
      </c>
      <c r="C10" t="s">
        <v>46</v>
      </c>
      <c r="D10" t="s">
        <v>50</v>
      </c>
      <c r="E10" t="s">
        <v>26</v>
      </c>
      <c r="F10">
        <v>16.703099999999999</v>
      </c>
      <c r="K10">
        <v>17.453800000000001</v>
      </c>
      <c r="P10">
        <v>17.9499</v>
      </c>
      <c r="U10">
        <v>18.869599999999998</v>
      </c>
      <c r="Z10">
        <v>19.5656</v>
      </c>
      <c r="AE10">
        <v>19.484500000000001</v>
      </c>
      <c r="AJ10">
        <v>20.0169</v>
      </c>
      <c r="CI10" t="s">
        <v>50</v>
      </c>
      <c r="CJ10" t="s">
        <v>51</v>
      </c>
    </row>
    <row r="11" spans="1:89" x14ac:dyDescent="0.45">
      <c r="A11" t="s">
        <v>24</v>
      </c>
      <c r="B11" t="s">
        <v>3</v>
      </c>
      <c r="C11" t="s">
        <v>46</v>
      </c>
      <c r="D11" t="s">
        <v>50</v>
      </c>
      <c r="E11" t="s">
        <v>26</v>
      </c>
      <c r="F11">
        <v>16.7254</v>
      </c>
      <c r="K11">
        <v>17.8842</v>
      </c>
      <c r="P11">
        <v>19.047899999999998</v>
      </c>
      <c r="U11">
        <v>20.007899999999999</v>
      </c>
      <c r="Z11">
        <v>21.121500000000001</v>
      </c>
      <c r="AE11">
        <v>23.098099999999999</v>
      </c>
      <c r="AJ11">
        <v>25.697800000000001</v>
      </c>
      <c r="CI11" t="s">
        <v>50</v>
      </c>
      <c r="CJ11" t="s">
        <v>51</v>
      </c>
    </row>
    <row r="12" spans="1:89" x14ac:dyDescent="0.45">
      <c r="A12" t="s">
        <v>24</v>
      </c>
      <c r="B12" t="s">
        <v>0</v>
      </c>
      <c r="C12" t="s">
        <v>46</v>
      </c>
      <c r="D12" t="s">
        <v>50</v>
      </c>
      <c r="E12" t="s">
        <v>26</v>
      </c>
      <c r="F12">
        <v>16.702200000000001</v>
      </c>
      <c r="K12">
        <v>17.453499999999998</v>
      </c>
      <c r="P12">
        <v>17.950900000000001</v>
      </c>
      <c r="U12">
        <v>19.810500000000001</v>
      </c>
      <c r="Z12">
        <v>20.8355</v>
      </c>
      <c r="AE12">
        <v>22.546900000000001</v>
      </c>
      <c r="AJ12">
        <v>24.562000000000001</v>
      </c>
      <c r="CI12" t="s">
        <v>50</v>
      </c>
      <c r="CJ12" t="s">
        <v>51</v>
      </c>
    </row>
    <row r="13" spans="1:89" x14ac:dyDescent="0.45">
      <c r="A13" t="s">
        <v>24</v>
      </c>
      <c r="B13" t="s">
        <v>5</v>
      </c>
      <c r="C13" t="s">
        <v>46</v>
      </c>
      <c r="D13" t="s">
        <v>50</v>
      </c>
      <c r="E13" t="s">
        <v>26</v>
      </c>
      <c r="F13">
        <v>16.724699999999999</v>
      </c>
      <c r="K13">
        <v>17.888999999999999</v>
      </c>
      <c r="P13">
        <v>17.4222</v>
      </c>
      <c r="U13">
        <v>18.3645</v>
      </c>
      <c r="Z13">
        <v>17.900600000000001</v>
      </c>
      <c r="AE13">
        <v>18.542999999999999</v>
      </c>
      <c r="AJ13">
        <v>20.2502</v>
      </c>
      <c r="CI13" t="s">
        <v>50</v>
      </c>
      <c r="CJ13" t="s">
        <v>51</v>
      </c>
    </row>
    <row r="14" spans="1:89" x14ac:dyDescent="0.45">
      <c r="A14" t="s">
        <v>24</v>
      </c>
      <c r="B14" t="s">
        <v>2</v>
      </c>
      <c r="C14" t="s">
        <v>46</v>
      </c>
      <c r="D14" t="s">
        <v>50</v>
      </c>
      <c r="E14" t="s">
        <v>26</v>
      </c>
      <c r="F14">
        <v>16.7088</v>
      </c>
      <c r="K14">
        <v>17.859000000000002</v>
      </c>
      <c r="P14">
        <v>18.375</v>
      </c>
      <c r="U14">
        <v>19.789899999999999</v>
      </c>
      <c r="Z14">
        <v>20.1632</v>
      </c>
      <c r="AE14">
        <v>20.878699999999998</v>
      </c>
      <c r="AJ14">
        <v>22.6816</v>
      </c>
      <c r="CI14" t="s">
        <v>50</v>
      </c>
      <c r="CJ14" t="s">
        <v>51</v>
      </c>
    </row>
    <row r="15" spans="1:89" x14ac:dyDescent="0.45">
      <c r="A15" t="s">
        <v>24</v>
      </c>
      <c r="B15" t="s">
        <v>1</v>
      </c>
      <c r="C15" t="s">
        <v>46</v>
      </c>
      <c r="D15" t="s">
        <v>50</v>
      </c>
      <c r="E15" t="s">
        <v>26</v>
      </c>
      <c r="F15">
        <v>16.7258</v>
      </c>
      <c r="K15">
        <v>17.885899999999999</v>
      </c>
      <c r="P15">
        <v>21.341899999999999</v>
      </c>
      <c r="U15">
        <v>24.1951</v>
      </c>
      <c r="Z15">
        <v>25.2286</v>
      </c>
      <c r="AE15">
        <v>26.336600000000001</v>
      </c>
      <c r="AJ15">
        <v>28.135999999999999</v>
      </c>
      <c r="CI15" t="s">
        <v>50</v>
      </c>
      <c r="CJ15" t="s">
        <v>51</v>
      </c>
    </row>
    <row r="16" spans="1:89" x14ac:dyDescent="0.45">
      <c r="A16" t="s">
        <v>24</v>
      </c>
      <c r="B16" t="s">
        <v>1</v>
      </c>
      <c r="C16" t="s">
        <v>46</v>
      </c>
      <c r="D16" t="s">
        <v>28</v>
      </c>
      <c r="E16" t="s">
        <v>26</v>
      </c>
      <c r="F16">
        <v>4.7699999999999999E-2</v>
      </c>
      <c r="K16">
        <v>4.4200000000000003E-2</v>
      </c>
      <c r="P16">
        <v>0.32069999999999999</v>
      </c>
      <c r="U16">
        <v>0.80020000000000002</v>
      </c>
      <c r="Z16">
        <v>1.6148</v>
      </c>
      <c r="AE16">
        <v>3.0192999999999999</v>
      </c>
      <c r="AJ16">
        <v>5.0453000000000001</v>
      </c>
      <c r="CI16" t="s">
        <v>28</v>
      </c>
      <c r="CJ16" t="s">
        <v>27</v>
      </c>
      <c r="CK16" t="s">
        <v>10</v>
      </c>
    </row>
    <row r="17" spans="1:89" x14ac:dyDescent="0.45">
      <c r="A17" t="s">
        <v>24</v>
      </c>
      <c r="B17" t="s">
        <v>0</v>
      </c>
      <c r="C17" t="s">
        <v>46</v>
      </c>
      <c r="D17" t="s">
        <v>25</v>
      </c>
      <c r="E17" t="s">
        <v>26</v>
      </c>
      <c r="F17">
        <v>2.0274999999999999</v>
      </c>
      <c r="K17">
        <v>2.1676000000000002</v>
      </c>
      <c r="P17">
        <v>2.2418999999999998</v>
      </c>
      <c r="U17">
        <v>2.3003999999999998</v>
      </c>
      <c r="Z17">
        <v>2.3864000000000001</v>
      </c>
      <c r="AE17">
        <v>2.6766000000000001</v>
      </c>
      <c r="AJ17">
        <v>2.9030999999999998</v>
      </c>
      <c r="CI17" t="s">
        <v>25</v>
      </c>
      <c r="CJ17" t="s">
        <v>27</v>
      </c>
      <c r="CK17" t="s">
        <v>13</v>
      </c>
    </row>
    <row r="18" spans="1:89" x14ac:dyDescent="0.45">
      <c r="A18" t="s">
        <v>24</v>
      </c>
      <c r="B18" t="s">
        <v>1</v>
      </c>
      <c r="C18" t="s">
        <v>46</v>
      </c>
      <c r="D18" t="s">
        <v>29</v>
      </c>
      <c r="E18" t="s">
        <v>26</v>
      </c>
      <c r="F18">
        <v>11.848699999999999</v>
      </c>
      <c r="K18">
        <v>13.113099999999999</v>
      </c>
      <c r="P18">
        <v>14.072900000000001</v>
      </c>
      <c r="U18">
        <v>15.4162</v>
      </c>
      <c r="Z18">
        <v>16.447299999999998</v>
      </c>
      <c r="AE18">
        <v>17.144300000000001</v>
      </c>
      <c r="AJ18">
        <v>17.7699</v>
      </c>
      <c r="CI18" t="s">
        <v>29</v>
      </c>
      <c r="CJ18" t="s">
        <v>27</v>
      </c>
      <c r="CK18" t="s">
        <v>12</v>
      </c>
    </row>
    <row r="19" spans="1:89" x14ac:dyDescent="0.45">
      <c r="A19" t="s">
        <v>24</v>
      </c>
      <c r="B19" t="s">
        <v>1</v>
      </c>
      <c r="C19" t="s">
        <v>46</v>
      </c>
      <c r="D19" t="s">
        <v>25</v>
      </c>
      <c r="E19" t="s">
        <v>26</v>
      </c>
      <c r="F19">
        <v>2.0680999999999998</v>
      </c>
      <c r="K19">
        <v>2.1147</v>
      </c>
      <c r="P19">
        <v>2.4839000000000002</v>
      </c>
      <c r="U19">
        <v>2.8763000000000001</v>
      </c>
      <c r="Z19">
        <v>3.2075</v>
      </c>
      <c r="AE19">
        <v>3.5516000000000001</v>
      </c>
      <c r="AJ19">
        <v>3.9205000000000001</v>
      </c>
      <c r="CI19" t="s">
        <v>25</v>
      </c>
      <c r="CJ19" t="s">
        <v>27</v>
      </c>
      <c r="CK19" t="s">
        <v>13</v>
      </c>
    </row>
    <row r="20" spans="1:89" x14ac:dyDescent="0.45">
      <c r="A20" t="s">
        <v>24</v>
      </c>
      <c r="B20" t="s">
        <v>4</v>
      </c>
      <c r="C20" t="s">
        <v>46</v>
      </c>
      <c r="D20" t="s">
        <v>28</v>
      </c>
      <c r="E20" t="s">
        <v>26</v>
      </c>
      <c r="F20">
        <v>4.6600000000000003E-2</v>
      </c>
      <c r="K20">
        <v>4.1399999999999999E-2</v>
      </c>
      <c r="P20">
        <v>3.9899999999999998E-2</v>
      </c>
      <c r="U20">
        <v>3.6700000000000003E-2</v>
      </c>
      <c r="Z20">
        <v>0.1132</v>
      </c>
      <c r="AE20">
        <v>0.42209999999999998</v>
      </c>
      <c r="AJ20">
        <v>0.87119999999999997</v>
      </c>
      <c r="CI20" t="s">
        <v>28</v>
      </c>
      <c r="CJ20" t="s">
        <v>27</v>
      </c>
      <c r="CK20" t="s">
        <v>10</v>
      </c>
    </row>
    <row r="21" spans="1:89" x14ac:dyDescent="0.45">
      <c r="A21" t="s">
        <v>24</v>
      </c>
      <c r="B21" t="s">
        <v>4</v>
      </c>
      <c r="C21" t="s">
        <v>46</v>
      </c>
      <c r="D21" t="s">
        <v>29</v>
      </c>
      <c r="E21" t="s">
        <v>26</v>
      </c>
      <c r="F21">
        <v>11.7905</v>
      </c>
      <c r="K21">
        <v>12.517300000000001</v>
      </c>
      <c r="P21">
        <v>13.0969</v>
      </c>
      <c r="U21">
        <v>13.7766</v>
      </c>
      <c r="Z21">
        <v>14.2948</v>
      </c>
      <c r="AE21">
        <v>14.661099999999999</v>
      </c>
      <c r="AJ21">
        <v>14.9033</v>
      </c>
      <c r="CI21" t="s">
        <v>29</v>
      </c>
      <c r="CJ21" t="s">
        <v>27</v>
      </c>
      <c r="CK21" t="s">
        <v>12</v>
      </c>
    </row>
    <row r="22" spans="1:89" x14ac:dyDescent="0.45">
      <c r="A22" t="s">
        <v>24</v>
      </c>
      <c r="B22" t="s">
        <v>5</v>
      </c>
      <c r="C22" t="s">
        <v>46</v>
      </c>
      <c r="D22" t="s">
        <v>28</v>
      </c>
      <c r="E22" t="s">
        <v>26</v>
      </c>
      <c r="F22">
        <v>4.9599999999999998E-2</v>
      </c>
      <c r="K22">
        <v>4.7399999999999998E-2</v>
      </c>
      <c r="P22">
        <v>0.2873</v>
      </c>
      <c r="U22">
        <v>0.7097</v>
      </c>
      <c r="Z22">
        <v>1.4334</v>
      </c>
      <c r="AE22">
        <v>2.6806999999999999</v>
      </c>
      <c r="AJ22">
        <v>4.8047000000000004</v>
      </c>
      <c r="CI22" t="s">
        <v>28</v>
      </c>
      <c r="CJ22" t="s">
        <v>27</v>
      </c>
      <c r="CK22" t="s">
        <v>10</v>
      </c>
    </row>
    <row r="23" spans="1:89" x14ac:dyDescent="0.45">
      <c r="A23" t="s">
        <v>24</v>
      </c>
      <c r="B23" t="s">
        <v>2</v>
      </c>
      <c r="C23" t="s">
        <v>46</v>
      </c>
      <c r="D23" t="s">
        <v>28</v>
      </c>
      <c r="E23" t="s">
        <v>26</v>
      </c>
      <c r="F23">
        <v>4.6699999999999998E-2</v>
      </c>
      <c r="K23">
        <v>4.24E-2</v>
      </c>
      <c r="P23">
        <v>0.29759999999999998</v>
      </c>
      <c r="U23">
        <v>0.76519999999999999</v>
      </c>
      <c r="Z23">
        <v>1.5788</v>
      </c>
      <c r="AE23">
        <v>2.9714</v>
      </c>
      <c r="AJ23">
        <v>4.5190999999999999</v>
      </c>
      <c r="CI23" t="s">
        <v>28</v>
      </c>
      <c r="CJ23" t="s">
        <v>27</v>
      </c>
      <c r="CK23" t="s">
        <v>10</v>
      </c>
    </row>
    <row r="24" spans="1:89" x14ac:dyDescent="0.45">
      <c r="A24" t="s">
        <v>24</v>
      </c>
      <c r="B24" t="s">
        <v>4</v>
      </c>
      <c r="C24" t="s">
        <v>46</v>
      </c>
      <c r="D24" t="s">
        <v>25</v>
      </c>
      <c r="E24" t="s">
        <v>26</v>
      </c>
      <c r="F24">
        <v>2.0367000000000002</v>
      </c>
      <c r="K24">
        <v>2.1808999999999998</v>
      </c>
      <c r="P24">
        <v>2.2601</v>
      </c>
      <c r="U24">
        <v>2.3056999999999999</v>
      </c>
      <c r="Z24">
        <v>2.3428</v>
      </c>
      <c r="AE24">
        <v>2.4138999999999999</v>
      </c>
      <c r="AJ24">
        <v>2.4895999999999998</v>
      </c>
      <c r="CI24" t="s">
        <v>25</v>
      </c>
      <c r="CJ24" t="s">
        <v>27</v>
      </c>
      <c r="CK24" t="s">
        <v>13</v>
      </c>
    </row>
    <row r="25" spans="1:89" x14ac:dyDescent="0.45">
      <c r="A25" t="s">
        <v>24</v>
      </c>
      <c r="B25" t="s">
        <v>5</v>
      </c>
      <c r="C25" t="s">
        <v>46</v>
      </c>
      <c r="D25" t="s">
        <v>29</v>
      </c>
      <c r="E25" t="s">
        <v>26</v>
      </c>
      <c r="F25">
        <v>11.845000000000001</v>
      </c>
      <c r="K25">
        <v>13.0947</v>
      </c>
      <c r="P25">
        <v>11.6676</v>
      </c>
      <c r="U25">
        <v>11.54</v>
      </c>
      <c r="Z25">
        <v>10.930300000000001</v>
      </c>
      <c r="AE25">
        <v>10.329000000000001</v>
      </c>
      <c r="AJ25">
        <v>9.4115000000000002</v>
      </c>
      <c r="CI25" t="s">
        <v>29</v>
      </c>
      <c r="CJ25" t="s">
        <v>27</v>
      </c>
      <c r="CK25" t="s">
        <v>12</v>
      </c>
    </row>
    <row r="26" spans="1:89" x14ac:dyDescent="0.45">
      <c r="A26" t="s">
        <v>24</v>
      </c>
      <c r="B26" t="s">
        <v>5</v>
      </c>
      <c r="C26" t="s">
        <v>46</v>
      </c>
      <c r="D26" t="s">
        <v>25</v>
      </c>
      <c r="E26" t="s">
        <v>26</v>
      </c>
      <c r="F26">
        <v>2.0655999999999999</v>
      </c>
      <c r="K26">
        <v>2.1213000000000002</v>
      </c>
      <c r="P26">
        <v>2.0327000000000002</v>
      </c>
      <c r="U26">
        <v>1.9692000000000001</v>
      </c>
      <c r="Z26">
        <v>1.8892</v>
      </c>
      <c r="AE26">
        <v>1.7710999999999999</v>
      </c>
      <c r="AJ26">
        <v>1.6294999999999999</v>
      </c>
      <c r="CI26" t="s">
        <v>25</v>
      </c>
      <c r="CJ26" t="s">
        <v>27</v>
      </c>
      <c r="CK26" t="s">
        <v>13</v>
      </c>
    </row>
    <row r="27" spans="1:89" x14ac:dyDescent="0.45">
      <c r="A27" t="s">
        <v>24</v>
      </c>
      <c r="B27" t="s">
        <v>2</v>
      </c>
      <c r="C27" t="s">
        <v>46</v>
      </c>
      <c r="D27" t="s">
        <v>25</v>
      </c>
      <c r="E27" t="s">
        <v>26</v>
      </c>
      <c r="F27">
        <v>2.0396999999999998</v>
      </c>
      <c r="K27">
        <v>2.0741000000000001</v>
      </c>
      <c r="P27">
        <v>2.1427</v>
      </c>
      <c r="U27">
        <v>2.2610000000000001</v>
      </c>
      <c r="Z27">
        <v>2.3451</v>
      </c>
      <c r="AE27">
        <v>2.4175</v>
      </c>
      <c r="AJ27">
        <v>2.4678</v>
      </c>
      <c r="CI27" t="s">
        <v>25</v>
      </c>
      <c r="CJ27" t="s">
        <v>27</v>
      </c>
      <c r="CK27" t="s">
        <v>13</v>
      </c>
    </row>
    <row r="28" spans="1:89" x14ac:dyDescent="0.45">
      <c r="A28" t="s">
        <v>24</v>
      </c>
      <c r="B28" t="s">
        <v>2</v>
      </c>
      <c r="C28" t="s">
        <v>46</v>
      </c>
      <c r="D28" t="s">
        <v>29</v>
      </c>
      <c r="E28" t="s">
        <v>26</v>
      </c>
      <c r="F28">
        <v>11.7982</v>
      </c>
      <c r="K28">
        <v>13.0306</v>
      </c>
      <c r="P28">
        <v>13.152900000000001</v>
      </c>
      <c r="U28">
        <v>14.105700000000001</v>
      </c>
      <c r="Z28">
        <v>14.003</v>
      </c>
      <c r="AE28">
        <v>14.217000000000001</v>
      </c>
      <c r="AJ28">
        <v>14.3277</v>
      </c>
      <c r="CI28" t="s">
        <v>29</v>
      </c>
      <c r="CJ28" t="s">
        <v>27</v>
      </c>
      <c r="CK28" t="s">
        <v>12</v>
      </c>
    </row>
    <row r="29" spans="1:89" x14ac:dyDescent="0.45">
      <c r="A29" t="s">
        <v>24</v>
      </c>
      <c r="B29" t="s">
        <v>3</v>
      </c>
      <c r="C29" t="s">
        <v>46</v>
      </c>
      <c r="D29" t="s">
        <v>25</v>
      </c>
      <c r="E29" t="s">
        <v>26</v>
      </c>
      <c r="F29">
        <v>2.0451000000000001</v>
      </c>
      <c r="K29">
        <v>2.0756999999999999</v>
      </c>
      <c r="P29">
        <v>2.1764999999999999</v>
      </c>
      <c r="U29">
        <v>2.2477</v>
      </c>
      <c r="Z29">
        <v>2.3068</v>
      </c>
      <c r="AE29">
        <v>2.3565</v>
      </c>
      <c r="AJ29">
        <v>2.5503</v>
      </c>
      <c r="CI29" t="s">
        <v>25</v>
      </c>
      <c r="CJ29" t="s">
        <v>27</v>
      </c>
      <c r="CK29" t="s">
        <v>13</v>
      </c>
    </row>
    <row r="30" spans="1:89" x14ac:dyDescent="0.45">
      <c r="A30" t="s">
        <v>24</v>
      </c>
      <c r="B30" t="s">
        <v>6</v>
      </c>
      <c r="C30" t="s">
        <v>46</v>
      </c>
      <c r="D30" t="s">
        <v>28</v>
      </c>
      <c r="E30" t="s">
        <v>26</v>
      </c>
      <c r="F30">
        <v>4.6199999999999998E-2</v>
      </c>
      <c r="K30">
        <v>4.0800000000000003E-2</v>
      </c>
      <c r="P30">
        <v>3.9E-2</v>
      </c>
      <c r="U30">
        <v>0.315</v>
      </c>
      <c r="Z30">
        <v>0.80740000000000001</v>
      </c>
      <c r="AE30">
        <v>1.6549</v>
      </c>
      <c r="AJ30">
        <v>3.1082999999999998</v>
      </c>
      <c r="CI30" t="s">
        <v>28</v>
      </c>
      <c r="CJ30" t="s">
        <v>27</v>
      </c>
      <c r="CK30" t="s">
        <v>10</v>
      </c>
    </row>
    <row r="31" spans="1:89" x14ac:dyDescent="0.45">
      <c r="A31" t="s">
        <v>24</v>
      </c>
      <c r="B31" t="s">
        <v>6</v>
      </c>
      <c r="C31" t="s">
        <v>46</v>
      </c>
      <c r="D31" t="s">
        <v>29</v>
      </c>
      <c r="E31" t="s">
        <v>26</v>
      </c>
      <c r="F31">
        <v>11.803900000000001</v>
      </c>
      <c r="K31">
        <v>12.5365</v>
      </c>
      <c r="P31">
        <v>13.1234</v>
      </c>
      <c r="U31">
        <v>13.6639</v>
      </c>
      <c r="Z31">
        <v>13.974600000000001</v>
      </c>
      <c r="AE31">
        <v>14.073499999999999</v>
      </c>
      <c r="AJ31">
        <v>14.361800000000001</v>
      </c>
      <c r="CI31" t="s">
        <v>29</v>
      </c>
      <c r="CJ31" t="s">
        <v>27</v>
      </c>
      <c r="CK31" t="s">
        <v>12</v>
      </c>
    </row>
    <row r="32" spans="1:89" x14ac:dyDescent="0.45">
      <c r="A32" t="s">
        <v>24</v>
      </c>
      <c r="B32" t="s">
        <v>6</v>
      </c>
      <c r="C32" t="s">
        <v>46</v>
      </c>
      <c r="D32" t="s">
        <v>25</v>
      </c>
      <c r="E32" t="s">
        <v>26</v>
      </c>
      <c r="F32">
        <v>2.0305</v>
      </c>
      <c r="K32">
        <v>2.1701000000000001</v>
      </c>
      <c r="P32">
        <v>2.2464</v>
      </c>
      <c r="U32">
        <v>2.2654000000000001</v>
      </c>
      <c r="Z32">
        <v>2.3170999999999999</v>
      </c>
      <c r="AE32">
        <v>2.5537999999999998</v>
      </c>
      <c r="AJ32">
        <v>2.7471000000000001</v>
      </c>
      <c r="CI32" t="s">
        <v>25</v>
      </c>
      <c r="CJ32" t="s">
        <v>27</v>
      </c>
      <c r="CK32" t="s">
        <v>13</v>
      </c>
    </row>
    <row r="33" spans="1:89" x14ac:dyDescent="0.45">
      <c r="A33" t="s">
        <v>24</v>
      </c>
      <c r="B33" t="s">
        <v>3</v>
      </c>
      <c r="C33" t="s">
        <v>46</v>
      </c>
      <c r="D33" t="s">
        <v>29</v>
      </c>
      <c r="E33" t="s">
        <v>26</v>
      </c>
      <c r="F33">
        <v>11.8245</v>
      </c>
      <c r="K33">
        <v>13.077400000000001</v>
      </c>
      <c r="P33">
        <v>13.196999999999999</v>
      </c>
      <c r="U33">
        <v>13.458299999999999</v>
      </c>
      <c r="Z33">
        <v>14.0802</v>
      </c>
      <c r="AE33">
        <v>14.643000000000001</v>
      </c>
      <c r="AJ33">
        <v>15.2393</v>
      </c>
      <c r="CI33" t="s">
        <v>29</v>
      </c>
      <c r="CJ33" t="s">
        <v>27</v>
      </c>
      <c r="CK33" t="s">
        <v>12</v>
      </c>
    </row>
    <row r="34" spans="1:89" x14ac:dyDescent="0.45">
      <c r="A34" t="s">
        <v>24</v>
      </c>
      <c r="B34" t="s">
        <v>3</v>
      </c>
      <c r="C34" t="s">
        <v>46</v>
      </c>
      <c r="D34" t="s">
        <v>28</v>
      </c>
      <c r="E34" t="s">
        <v>26</v>
      </c>
      <c r="F34">
        <v>4.6699999999999998E-2</v>
      </c>
      <c r="K34">
        <v>4.24E-2</v>
      </c>
      <c r="P34">
        <v>0.31619999999999998</v>
      </c>
      <c r="U34">
        <v>0.79659999999999997</v>
      </c>
      <c r="Z34">
        <v>1.6315</v>
      </c>
      <c r="AE34">
        <v>3.0617999999999999</v>
      </c>
      <c r="AJ34">
        <v>4.7785000000000002</v>
      </c>
      <c r="CI34" t="s">
        <v>28</v>
      </c>
      <c r="CJ34" t="s">
        <v>27</v>
      </c>
      <c r="CK34" t="s">
        <v>10</v>
      </c>
    </row>
    <row r="35" spans="1:89" x14ac:dyDescent="0.45">
      <c r="A35" t="s">
        <v>24</v>
      </c>
      <c r="B35" t="s">
        <v>0</v>
      </c>
      <c r="C35" t="s">
        <v>46</v>
      </c>
      <c r="D35" t="s">
        <v>29</v>
      </c>
      <c r="E35" t="s">
        <v>26</v>
      </c>
      <c r="F35">
        <v>11.7866</v>
      </c>
      <c r="K35">
        <v>12.5116</v>
      </c>
      <c r="P35">
        <v>13.088900000000001</v>
      </c>
      <c r="U35">
        <v>13.764900000000001</v>
      </c>
      <c r="Z35">
        <v>14.372999999999999</v>
      </c>
      <c r="AE35">
        <v>15.040900000000001</v>
      </c>
      <c r="AJ35">
        <v>15.8461</v>
      </c>
      <c r="CI35" t="s">
        <v>29</v>
      </c>
      <c r="CJ35" t="s">
        <v>27</v>
      </c>
      <c r="CK35" t="s">
        <v>12</v>
      </c>
    </row>
    <row r="36" spans="1:89" x14ac:dyDescent="0.45">
      <c r="A36" t="s">
        <v>24</v>
      </c>
      <c r="B36" t="s">
        <v>0</v>
      </c>
      <c r="C36" t="s">
        <v>46</v>
      </c>
      <c r="D36" t="s">
        <v>28</v>
      </c>
      <c r="E36" t="s">
        <v>26</v>
      </c>
      <c r="F36">
        <v>4.6100000000000002E-2</v>
      </c>
      <c r="K36">
        <v>4.0599999999999997E-2</v>
      </c>
      <c r="P36">
        <v>3.8899999999999997E-2</v>
      </c>
      <c r="U36">
        <v>0.31319999999999998</v>
      </c>
      <c r="Z36">
        <v>0.80410000000000004</v>
      </c>
      <c r="AE36">
        <v>1.6491</v>
      </c>
      <c r="AJ36">
        <v>3.097</v>
      </c>
      <c r="CI36" t="s">
        <v>28</v>
      </c>
      <c r="CJ36" t="s">
        <v>27</v>
      </c>
      <c r="CK36" t="s">
        <v>10</v>
      </c>
    </row>
    <row r="37" spans="1:89" x14ac:dyDescent="0.45">
      <c r="A37" t="s">
        <v>24</v>
      </c>
      <c r="B37" t="s">
        <v>5</v>
      </c>
      <c r="C37" t="s">
        <v>46</v>
      </c>
      <c r="D37" t="s">
        <v>52</v>
      </c>
      <c r="E37" t="s">
        <v>31</v>
      </c>
      <c r="F37">
        <v>2.5589</v>
      </c>
      <c r="K37">
        <v>3.8325</v>
      </c>
      <c r="P37">
        <v>1.4218999999999999</v>
      </c>
      <c r="U37">
        <v>3.6432000000000002</v>
      </c>
      <c r="Z37">
        <v>3.8864999999999998</v>
      </c>
      <c r="AE37">
        <v>8.9198000000000004</v>
      </c>
      <c r="AJ37">
        <v>2.4159000000000002</v>
      </c>
      <c r="CI37" t="s">
        <v>52</v>
      </c>
      <c r="CJ37" t="s">
        <v>53</v>
      </c>
    </row>
    <row r="38" spans="1:89" x14ac:dyDescent="0.45">
      <c r="A38" t="s">
        <v>24</v>
      </c>
      <c r="B38" t="s">
        <v>3</v>
      </c>
      <c r="C38" t="s">
        <v>46</v>
      </c>
      <c r="D38" t="s">
        <v>54</v>
      </c>
      <c r="E38" t="s">
        <v>26</v>
      </c>
      <c r="F38">
        <v>0.5151</v>
      </c>
      <c r="K38">
        <v>0.54430000000000001</v>
      </c>
      <c r="P38">
        <v>0.34250000000000003</v>
      </c>
      <c r="U38">
        <v>0.27500000000000002</v>
      </c>
      <c r="Z38">
        <v>0.23649999999999999</v>
      </c>
      <c r="AE38">
        <v>7.9799999999999996E-2</v>
      </c>
      <c r="AJ38">
        <v>7.1599999999999997E-2</v>
      </c>
      <c r="CI38" t="s">
        <v>54</v>
      </c>
      <c r="CJ38" t="s">
        <v>53</v>
      </c>
    </row>
    <row r="39" spans="1:89" x14ac:dyDescent="0.45">
      <c r="A39" t="s">
        <v>24</v>
      </c>
      <c r="B39" t="s">
        <v>1</v>
      </c>
      <c r="C39" t="s">
        <v>46</v>
      </c>
      <c r="D39" t="s">
        <v>54</v>
      </c>
      <c r="E39" t="s">
        <v>26</v>
      </c>
      <c r="F39">
        <v>0.51529999999999998</v>
      </c>
      <c r="K39">
        <v>0.54449999999999998</v>
      </c>
      <c r="P39">
        <v>0.37180000000000002</v>
      </c>
      <c r="U39">
        <v>0.30449999999999999</v>
      </c>
      <c r="Z39">
        <v>0.2742</v>
      </c>
      <c r="AE39">
        <v>0.1103</v>
      </c>
      <c r="AJ39">
        <v>8.8700000000000001E-2</v>
      </c>
      <c r="CI39" t="s">
        <v>54</v>
      </c>
      <c r="CJ39" t="s">
        <v>53</v>
      </c>
    </row>
    <row r="40" spans="1:89" x14ac:dyDescent="0.45">
      <c r="A40" t="s">
        <v>24</v>
      </c>
      <c r="B40" t="s">
        <v>2</v>
      </c>
      <c r="C40" t="s">
        <v>46</v>
      </c>
      <c r="D40" t="s">
        <v>52</v>
      </c>
      <c r="E40" t="s">
        <v>31</v>
      </c>
      <c r="F40">
        <v>2.5589</v>
      </c>
      <c r="K40">
        <v>3.8325</v>
      </c>
      <c r="P40">
        <v>3.9207999999999998</v>
      </c>
      <c r="U40">
        <v>4.3825000000000003</v>
      </c>
      <c r="Z40">
        <v>4.2748999999999997</v>
      </c>
      <c r="AE40">
        <v>5.0652999999999997</v>
      </c>
      <c r="AJ40">
        <v>5.3949999999999996</v>
      </c>
      <c r="CI40" t="s">
        <v>52</v>
      </c>
      <c r="CJ40" t="s">
        <v>53</v>
      </c>
    </row>
    <row r="41" spans="1:89" x14ac:dyDescent="0.45">
      <c r="A41" t="s">
        <v>24</v>
      </c>
      <c r="B41" t="s">
        <v>1</v>
      </c>
      <c r="C41" t="s">
        <v>46</v>
      </c>
      <c r="D41" t="s">
        <v>52</v>
      </c>
      <c r="E41" t="s">
        <v>31</v>
      </c>
      <c r="F41">
        <v>2.5589</v>
      </c>
      <c r="K41">
        <v>3.8325</v>
      </c>
      <c r="P41">
        <v>2.5836999999999999</v>
      </c>
      <c r="U41">
        <v>5.1852999999999998</v>
      </c>
      <c r="Z41">
        <v>9.5309000000000008</v>
      </c>
      <c r="AE41">
        <v>3.0133000000000001</v>
      </c>
      <c r="AJ41">
        <v>5.3346</v>
      </c>
      <c r="CI41" t="s">
        <v>52</v>
      </c>
      <c r="CJ41" t="s">
        <v>53</v>
      </c>
    </row>
    <row r="42" spans="1:89" x14ac:dyDescent="0.45">
      <c r="A42" t="s">
        <v>24</v>
      </c>
      <c r="B42" t="s">
        <v>3</v>
      </c>
      <c r="C42" t="s">
        <v>46</v>
      </c>
      <c r="D42" t="s">
        <v>52</v>
      </c>
      <c r="E42" t="s">
        <v>31</v>
      </c>
      <c r="F42">
        <v>2.5589</v>
      </c>
      <c r="K42">
        <v>3.8325</v>
      </c>
      <c r="P42">
        <v>3.4668999999999999</v>
      </c>
      <c r="U42">
        <v>4.1589999999999998</v>
      </c>
      <c r="Z42">
        <v>4.226</v>
      </c>
      <c r="AE42">
        <v>4.8884999999999996</v>
      </c>
      <c r="AJ42">
        <v>5.1067</v>
      </c>
      <c r="CI42" t="s">
        <v>52</v>
      </c>
      <c r="CJ42" t="s">
        <v>53</v>
      </c>
    </row>
    <row r="43" spans="1:89" x14ac:dyDescent="0.45">
      <c r="A43" t="s">
        <v>24</v>
      </c>
      <c r="B43" t="s">
        <v>2</v>
      </c>
      <c r="C43" t="s">
        <v>46</v>
      </c>
      <c r="D43" t="s">
        <v>54</v>
      </c>
      <c r="E43" t="s">
        <v>26</v>
      </c>
      <c r="F43">
        <v>0.51429999999999998</v>
      </c>
      <c r="K43">
        <v>0.54339999999999999</v>
      </c>
      <c r="P43">
        <v>0.33750000000000002</v>
      </c>
      <c r="U43">
        <v>0.26879999999999998</v>
      </c>
      <c r="Z43">
        <v>0.23369999999999999</v>
      </c>
      <c r="AE43">
        <v>7.22E-2</v>
      </c>
      <c r="AJ43">
        <v>5.6399999999999999E-2</v>
      </c>
      <c r="CI43" t="s">
        <v>54</v>
      </c>
      <c r="CJ43" t="s">
        <v>53</v>
      </c>
    </row>
    <row r="44" spans="1:89" x14ac:dyDescent="0.45">
      <c r="A44" t="s">
        <v>24</v>
      </c>
      <c r="B44" t="s">
        <v>5</v>
      </c>
      <c r="C44" t="s">
        <v>46</v>
      </c>
      <c r="D44" t="s">
        <v>54</v>
      </c>
      <c r="E44" t="s">
        <v>26</v>
      </c>
      <c r="F44">
        <v>0.51529999999999998</v>
      </c>
      <c r="K44">
        <v>0.54479999999999995</v>
      </c>
      <c r="P44">
        <v>0.35089999999999999</v>
      </c>
      <c r="U44">
        <v>0.2838</v>
      </c>
      <c r="Z44">
        <v>0.25230000000000002</v>
      </c>
      <c r="AE44">
        <v>0.13150000000000001</v>
      </c>
      <c r="AJ44">
        <v>0.20599999999999999</v>
      </c>
      <c r="CI44" t="s">
        <v>54</v>
      </c>
      <c r="CJ44" t="s">
        <v>53</v>
      </c>
    </row>
    <row r="45" spans="1:89" x14ac:dyDescent="0.45">
      <c r="A45" t="s">
        <v>24</v>
      </c>
      <c r="B45" t="s">
        <v>4</v>
      </c>
      <c r="C45" t="s">
        <v>46</v>
      </c>
      <c r="D45" t="s">
        <v>54</v>
      </c>
      <c r="E45" t="s">
        <v>26</v>
      </c>
      <c r="F45">
        <v>0.51400000000000001</v>
      </c>
      <c r="K45">
        <v>0.46789999999999998</v>
      </c>
      <c r="P45">
        <v>0.33410000000000001</v>
      </c>
      <c r="U45">
        <v>0.26419999999999999</v>
      </c>
      <c r="Z45">
        <v>0.19270000000000001</v>
      </c>
      <c r="AE45">
        <v>6.1100000000000002E-2</v>
      </c>
      <c r="AJ45">
        <v>4.8899999999999999E-2</v>
      </c>
      <c r="CI45" t="s">
        <v>54</v>
      </c>
      <c r="CJ45" t="s">
        <v>53</v>
      </c>
    </row>
    <row r="46" spans="1:89" x14ac:dyDescent="0.45">
      <c r="A46" t="s">
        <v>24</v>
      </c>
      <c r="B46" t="s">
        <v>0</v>
      </c>
      <c r="C46" t="s">
        <v>46</v>
      </c>
      <c r="D46" t="s">
        <v>52</v>
      </c>
      <c r="E46" t="s">
        <v>31</v>
      </c>
      <c r="F46">
        <v>2.5589</v>
      </c>
      <c r="K46">
        <v>3.7471000000000001</v>
      </c>
      <c r="P46">
        <v>3.9925999999999999</v>
      </c>
      <c r="U46">
        <v>4.6638999999999999</v>
      </c>
      <c r="Z46">
        <v>4.2107000000000001</v>
      </c>
      <c r="AE46">
        <v>5.1287000000000003</v>
      </c>
      <c r="AJ46">
        <v>6.1551</v>
      </c>
      <c r="CI46" t="s">
        <v>52</v>
      </c>
      <c r="CJ46" t="s">
        <v>53</v>
      </c>
    </row>
    <row r="47" spans="1:89" x14ac:dyDescent="0.45">
      <c r="A47" t="s">
        <v>24</v>
      </c>
      <c r="B47" t="s">
        <v>4</v>
      </c>
      <c r="C47" t="s">
        <v>46</v>
      </c>
      <c r="D47" t="s">
        <v>52</v>
      </c>
      <c r="E47" t="s">
        <v>31</v>
      </c>
      <c r="F47">
        <v>2.5589</v>
      </c>
      <c r="K47">
        <v>3.7471000000000001</v>
      </c>
      <c r="P47">
        <v>3.9925999999999999</v>
      </c>
      <c r="U47">
        <v>4.6025999999999998</v>
      </c>
      <c r="Z47">
        <v>4.6044</v>
      </c>
      <c r="AE47">
        <v>5.3304</v>
      </c>
      <c r="AJ47">
        <v>5.3849999999999998</v>
      </c>
      <c r="CI47" t="s">
        <v>52</v>
      </c>
      <c r="CJ47" t="s">
        <v>53</v>
      </c>
    </row>
    <row r="48" spans="1:89" x14ac:dyDescent="0.45">
      <c r="A48" t="s">
        <v>24</v>
      </c>
      <c r="B48" t="s">
        <v>0</v>
      </c>
      <c r="C48" t="s">
        <v>46</v>
      </c>
      <c r="D48" t="s">
        <v>54</v>
      </c>
      <c r="E48" t="s">
        <v>26</v>
      </c>
      <c r="F48">
        <v>0.51380000000000003</v>
      </c>
      <c r="K48">
        <v>0.46779999999999999</v>
      </c>
      <c r="P48">
        <v>0.33400000000000002</v>
      </c>
      <c r="U48">
        <v>0.27579999999999999</v>
      </c>
      <c r="Z48">
        <v>0.23419999999999999</v>
      </c>
      <c r="AE48">
        <v>7.2800000000000004E-2</v>
      </c>
      <c r="AJ48">
        <v>6.2899999999999998E-2</v>
      </c>
      <c r="CI48" t="s">
        <v>54</v>
      </c>
      <c r="CJ48" t="s">
        <v>53</v>
      </c>
    </row>
    <row r="49" spans="1:89" x14ac:dyDescent="0.45">
      <c r="A49" t="s">
        <v>24</v>
      </c>
      <c r="B49" t="s">
        <v>6</v>
      </c>
      <c r="C49" t="s">
        <v>46</v>
      </c>
      <c r="D49" t="s">
        <v>54</v>
      </c>
      <c r="E49" t="s">
        <v>26</v>
      </c>
      <c r="F49">
        <v>0.51439999999999997</v>
      </c>
      <c r="K49">
        <v>0.46839999999999998</v>
      </c>
      <c r="P49">
        <v>0.33460000000000001</v>
      </c>
      <c r="U49">
        <v>0.27260000000000001</v>
      </c>
      <c r="Z49">
        <v>0.21060000000000001</v>
      </c>
      <c r="AE49">
        <v>7.5399999999999995E-2</v>
      </c>
      <c r="AJ49">
        <v>7.1199999999999999E-2</v>
      </c>
      <c r="CI49" t="s">
        <v>54</v>
      </c>
      <c r="CJ49" t="s">
        <v>53</v>
      </c>
    </row>
    <row r="50" spans="1:89" x14ac:dyDescent="0.45">
      <c r="A50" t="s">
        <v>24</v>
      </c>
      <c r="B50" t="s">
        <v>6</v>
      </c>
      <c r="C50" t="s">
        <v>46</v>
      </c>
      <c r="D50" t="s">
        <v>52</v>
      </c>
      <c r="E50" t="s">
        <v>31</v>
      </c>
      <c r="F50">
        <v>2.5589</v>
      </c>
      <c r="K50">
        <v>3.7471000000000001</v>
      </c>
      <c r="P50">
        <v>3.9925999999999999</v>
      </c>
      <c r="U50">
        <v>4.9340000000000002</v>
      </c>
      <c r="Z50">
        <v>4.2899000000000003</v>
      </c>
      <c r="AE50">
        <v>5.4580000000000002</v>
      </c>
      <c r="AJ50">
        <v>6.1764999999999999</v>
      </c>
      <c r="CI50" t="s">
        <v>52</v>
      </c>
      <c r="CJ50" t="s">
        <v>53</v>
      </c>
    </row>
    <row r="51" spans="1:89" x14ac:dyDescent="0.45">
      <c r="A51" t="s">
        <v>24</v>
      </c>
      <c r="B51" t="s">
        <v>2</v>
      </c>
      <c r="C51" t="s">
        <v>46</v>
      </c>
      <c r="D51" t="s">
        <v>30</v>
      </c>
      <c r="E51" t="s">
        <v>31</v>
      </c>
      <c r="F51">
        <v>4.4684999999999997</v>
      </c>
      <c r="K51">
        <v>3.3054000000000001</v>
      </c>
      <c r="P51">
        <v>5.1925999999999997</v>
      </c>
      <c r="U51">
        <v>4.0719000000000003</v>
      </c>
      <c r="Z51">
        <v>6.9028</v>
      </c>
      <c r="AE51">
        <v>5.8891999999999998</v>
      </c>
      <c r="AJ51">
        <v>7.2515999999999998</v>
      </c>
      <c r="CI51" t="s">
        <v>30</v>
      </c>
      <c r="CJ51" t="s">
        <v>32</v>
      </c>
      <c r="CK51" t="s">
        <v>33</v>
      </c>
    </row>
    <row r="52" spans="1:89" x14ac:dyDescent="0.45">
      <c r="A52" t="s">
        <v>24</v>
      </c>
      <c r="B52" t="s">
        <v>6</v>
      </c>
      <c r="C52" t="s">
        <v>46</v>
      </c>
      <c r="D52" t="s">
        <v>36</v>
      </c>
      <c r="E52" t="s">
        <v>31</v>
      </c>
      <c r="F52">
        <v>3.6044999999999998</v>
      </c>
      <c r="K52">
        <v>3.7021000000000002</v>
      </c>
      <c r="P52">
        <v>4.2958999999999996</v>
      </c>
      <c r="U52">
        <v>4.7013999999999996</v>
      </c>
      <c r="Z52">
        <v>4.7167000000000003</v>
      </c>
      <c r="AE52">
        <v>5.2339000000000002</v>
      </c>
      <c r="AJ52">
        <v>5.7249999999999996</v>
      </c>
      <c r="CI52" t="s">
        <v>36</v>
      </c>
      <c r="CJ52" t="s">
        <v>32</v>
      </c>
      <c r="CK52" t="s">
        <v>37</v>
      </c>
    </row>
    <row r="53" spans="1:89" x14ac:dyDescent="0.45">
      <c r="A53" t="s">
        <v>24</v>
      </c>
      <c r="B53" t="s">
        <v>6</v>
      </c>
      <c r="C53" t="s">
        <v>46</v>
      </c>
      <c r="D53" t="s">
        <v>34</v>
      </c>
      <c r="E53" t="s">
        <v>31</v>
      </c>
      <c r="F53">
        <v>2.4399000000000002</v>
      </c>
      <c r="K53">
        <v>2.6446000000000001</v>
      </c>
      <c r="P53">
        <v>2.5596999999999999</v>
      </c>
      <c r="U53">
        <v>2.6768000000000001</v>
      </c>
      <c r="Z53">
        <v>2.0129000000000001</v>
      </c>
      <c r="AE53">
        <v>0.74380000000000002</v>
      </c>
      <c r="AJ53">
        <v>1.1781999999999999</v>
      </c>
      <c r="CI53" t="s">
        <v>34</v>
      </c>
      <c r="CJ53" t="s">
        <v>32</v>
      </c>
      <c r="CK53" t="s">
        <v>35</v>
      </c>
    </row>
    <row r="54" spans="1:89" x14ac:dyDescent="0.45">
      <c r="A54" t="s">
        <v>24</v>
      </c>
      <c r="B54" t="s">
        <v>5</v>
      </c>
      <c r="C54" t="s">
        <v>46</v>
      </c>
      <c r="D54" t="s">
        <v>30</v>
      </c>
      <c r="E54" t="s">
        <v>31</v>
      </c>
      <c r="F54">
        <v>4.4684999999999997</v>
      </c>
      <c r="K54">
        <v>3.3054000000000001</v>
      </c>
      <c r="P54">
        <v>13.4735</v>
      </c>
      <c r="U54">
        <v>7.9318</v>
      </c>
      <c r="Z54">
        <v>13.9848</v>
      </c>
      <c r="AE54">
        <v>19.553100000000001</v>
      </c>
      <c r="AJ54">
        <v>20.0123</v>
      </c>
      <c r="CI54" t="s">
        <v>30</v>
      </c>
      <c r="CJ54" t="s">
        <v>32</v>
      </c>
      <c r="CK54" t="s">
        <v>33</v>
      </c>
    </row>
    <row r="55" spans="1:89" x14ac:dyDescent="0.45">
      <c r="A55" t="s">
        <v>24</v>
      </c>
      <c r="B55" t="s">
        <v>6</v>
      </c>
      <c r="C55" t="s">
        <v>46</v>
      </c>
      <c r="D55" t="s">
        <v>30</v>
      </c>
      <c r="E55" t="s">
        <v>31</v>
      </c>
      <c r="F55">
        <v>4.4684999999999997</v>
      </c>
      <c r="K55">
        <v>1.9009</v>
      </c>
      <c r="P55">
        <v>6.2432999999999996</v>
      </c>
      <c r="U55">
        <v>4.3114999999999997</v>
      </c>
      <c r="Z55">
        <v>7.7466999999999997</v>
      </c>
      <c r="AE55">
        <v>7.6677999999999997</v>
      </c>
      <c r="AJ55">
        <v>12.518000000000001</v>
      </c>
      <c r="CI55" t="s">
        <v>30</v>
      </c>
      <c r="CJ55" t="s">
        <v>32</v>
      </c>
      <c r="CK55" t="s">
        <v>33</v>
      </c>
    </row>
    <row r="56" spans="1:89" x14ac:dyDescent="0.45">
      <c r="A56" t="s">
        <v>24</v>
      </c>
      <c r="B56" t="s">
        <v>3</v>
      </c>
      <c r="C56" t="s">
        <v>46</v>
      </c>
      <c r="D56" t="s">
        <v>30</v>
      </c>
      <c r="E56" t="s">
        <v>31</v>
      </c>
      <c r="F56">
        <v>4.4684999999999997</v>
      </c>
      <c r="K56">
        <v>3.3054000000000001</v>
      </c>
      <c r="P56">
        <v>6.8269000000000002</v>
      </c>
      <c r="U56">
        <v>4.9569999999999999</v>
      </c>
      <c r="Z56">
        <v>8.9972999999999992</v>
      </c>
      <c r="AE56">
        <v>8.1872000000000007</v>
      </c>
      <c r="AJ56">
        <v>9.1260999999999992</v>
      </c>
      <c r="CI56" t="s">
        <v>30</v>
      </c>
      <c r="CJ56" t="s">
        <v>32</v>
      </c>
      <c r="CK56" t="s">
        <v>33</v>
      </c>
    </row>
    <row r="57" spans="1:89" x14ac:dyDescent="0.45">
      <c r="A57" t="s">
        <v>24</v>
      </c>
      <c r="B57" t="s">
        <v>0</v>
      </c>
      <c r="C57" t="s">
        <v>46</v>
      </c>
      <c r="D57" t="s">
        <v>34</v>
      </c>
      <c r="E57" t="s">
        <v>31</v>
      </c>
      <c r="F57">
        <v>2.4399000000000002</v>
      </c>
      <c r="K57">
        <v>2.6446000000000001</v>
      </c>
      <c r="P57">
        <v>2.5596999999999999</v>
      </c>
      <c r="U57">
        <v>-0.2319</v>
      </c>
      <c r="Z57">
        <v>0.63670000000000004</v>
      </c>
      <c r="AE57">
        <v>1.0358000000000001</v>
      </c>
      <c r="AJ57">
        <v>3.4154</v>
      </c>
      <c r="CI57" t="s">
        <v>34</v>
      </c>
      <c r="CJ57" t="s">
        <v>32</v>
      </c>
      <c r="CK57" t="s">
        <v>35</v>
      </c>
    </row>
    <row r="58" spans="1:89" x14ac:dyDescent="0.45">
      <c r="A58" t="s">
        <v>24</v>
      </c>
      <c r="B58" t="s">
        <v>3</v>
      </c>
      <c r="C58" t="s">
        <v>46</v>
      </c>
      <c r="D58" t="s">
        <v>34</v>
      </c>
      <c r="E58" t="s">
        <v>31</v>
      </c>
      <c r="F58">
        <v>2.4399000000000002</v>
      </c>
      <c r="K58">
        <v>2.2303000000000002</v>
      </c>
      <c r="P58">
        <v>1.9238999999999999</v>
      </c>
      <c r="U58">
        <v>0.61919999999999997</v>
      </c>
      <c r="Z58">
        <v>0.30980000000000002</v>
      </c>
      <c r="AE58">
        <v>2.5640000000000001</v>
      </c>
      <c r="AJ58">
        <v>2.8115999999999999</v>
      </c>
      <c r="CI58" t="s">
        <v>34</v>
      </c>
      <c r="CJ58" t="s">
        <v>32</v>
      </c>
      <c r="CK58" t="s">
        <v>35</v>
      </c>
    </row>
    <row r="59" spans="1:89" x14ac:dyDescent="0.45">
      <c r="A59" t="s">
        <v>24</v>
      </c>
      <c r="B59" t="s">
        <v>3</v>
      </c>
      <c r="C59" t="s">
        <v>46</v>
      </c>
      <c r="D59" t="s">
        <v>36</v>
      </c>
      <c r="E59" t="s">
        <v>31</v>
      </c>
      <c r="F59">
        <v>3.6044999999999998</v>
      </c>
      <c r="K59">
        <v>4.1002999999999998</v>
      </c>
      <c r="P59">
        <v>4.5384000000000002</v>
      </c>
      <c r="U59">
        <v>4.6368</v>
      </c>
      <c r="Z59">
        <v>4.9682000000000004</v>
      </c>
      <c r="AE59">
        <v>5.1093000000000002</v>
      </c>
      <c r="AJ59">
        <v>5.6074000000000002</v>
      </c>
      <c r="CI59" t="s">
        <v>36</v>
      </c>
      <c r="CJ59" t="s">
        <v>32</v>
      </c>
      <c r="CK59" t="s">
        <v>37</v>
      </c>
    </row>
    <row r="60" spans="1:89" x14ac:dyDescent="0.45">
      <c r="A60" t="s">
        <v>24</v>
      </c>
      <c r="B60" t="s">
        <v>3</v>
      </c>
      <c r="C60" t="s">
        <v>46</v>
      </c>
      <c r="D60" t="s">
        <v>38</v>
      </c>
      <c r="E60" t="s">
        <v>31</v>
      </c>
      <c r="F60">
        <v>3.5491999999999999</v>
      </c>
      <c r="K60">
        <v>4.7690000000000001</v>
      </c>
      <c r="P60">
        <v>4.2904999999999998</v>
      </c>
      <c r="U60">
        <v>5.2050999999999998</v>
      </c>
      <c r="Z60">
        <v>4.9287999999999998</v>
      </c>
      <c r="AE60">
        <v>5.9802999999999997</v>
      </c>
      <c r="AJ60">
        <v>5.7312000000000003</v>
      </c>
      <c r="CI60" t="s">
        <v>38</v>
      </c>
      <c r="CJ60" t="s">
        <v>32</v>
      </c>
      <c r="CK60" t="s">
        <v>39</v>
      </c>
    </row>
    <row r="61" spans="1:89" x14ac:dyDescent="0.45">
      <c r="A61" t="s">
        <v>24</v>
      </c>
      <c r="B61" t="s">
        <v>0</v>
      </c>
      <c r="C61" t="s">
        <v>46</v>
      </c>
      <c r="D61" t="s">
        <v>38</v>
      </c>
      <c r="E61" t="s">
        <v>31</v>
      </c>
      <c r="F61">
        <v>3.5491999999999999</v>
      </c>
      <c r="K61">
        <v>4.9105999999999996</v>
      </c>
      <c r="P61">
        <v>4.7489999999999997</v>
      </c>
      <c r="U61">
        <v>5.7652000000000001</v>
      </c>
      <c r="Z61">
        <v>5.3186</v>
      </c>
      <c r="AE61">
        <v>6.2645999999999997</v>
      </c>
      <c r="AJ61">
        <v>6.8101000000000003</v>
      </c>
      <c r="CI61" t="s">
        <v>38</v>
      </c>
      <c r="CJ61" t="s">
        <v>32</v>
      </c>
      <c r="CK61" t="s">
        <v>39</v>
      </c>
    </row>
    <row r="62" spans="1:89" x14ac:dyDescent="0.45">
      <c r="A62" t="s">
        <v>24</v>
      </c>
      <c r="B62" t="s">
        <v>0</v>
      </c>
      <c r="C62" t="s">
        <v>46</v>
      </c>
      <c r="D62" t="s">
        <v>30</v>
      </c>
      <c r="E62" t="s">
        <v>31</v>
      </c>
      <c r="F62">
        <v>4.4684999999999997</v>
      </c>
      <c r="K62">
        <v>1.9009</v>
      </c>
      <c r="P62">
        <v>6.2432999999999996</v>
      </c>
      <c r="U62">
        <v>6.7606999999999999</v>
      </c>
      <c r="Z62">
        <v>10.098599999999999</v>
      </c>
      <c r="AE62">
        <v>9.75</v>
      </c>
      <c r="AJ62">
        <v>12.1509</v>
      </c>
      <c r="CI62" t="s">
        <v>30</v>
      </c>
      <c r="CJ62" t="s">
        <v>32</v>
      </c>
      <c r="CK62" t="s">
        <v>33</v>
      </c>
    </row>
    <row r="63" spans="1:89" x14ac:dyDescent="0.45">
      <c r="A63" t="s">
        <v>24</v>
      </c>
      <c r="B63" t="s">
        <v>1</v>
      </c>
      <c r="C63" t="s">
        <v>46</v>
      </c>
      <c r="D63" t="s">
        <v>38</v>
      </c>
      <c r="E63" t="s">
        <v>31</v>
      </c>
      <c r="F63">
        <v>3.5491999999999999</v>
      </c>
      <c r="K63">
        <v>4.7690000000000001</v>
      </c>
      <c r="P63">
        <v>6.5282999999999998</v>
      </c>
      <c r="U63">
        <v>5.4359999999999999</v>
      </c>
      <c r="Z63">
        <v>10.4002</v>
      </c>
      <c r="AE63">
        <v>4.3339999999999996</v>
      </c>
      <c r="AJ63">
        <v>4.6989999999999998</v>
      </c>
      <c r="CI63" t="s">
        <v>38</v>
      </c>
      <c r="CJ63" t="s">
        <v>32</v>
      </c>
      <c r="CK63" t="s">
        <v>39</v>
      </c>
    </row>
    <row r="64" spans="1:89" x14ac:dyDescent="0.45">
      <c r="A64" t="s">
        <v>24</v>
      </c>
      <c r="B64" t="s">
        <v>6</v>
      </c>
      <c r="C64" t="s">
        <v>46</v>
      </c>
      <c r="D64" t="s">
        <v>38</v>
      </c>
      <c r="E64" t="s">
        <v>31</v>
      </c>
      <c r="F64">
        <v>3.5491999999999999</v>
      </c>
      <c r="K64">
        <v>4.9105999999999996</v>
      </c>
      <c r="P64">
        <v>4.7489999999999997</v>
      </c>
      <c r="U64">
        <v>5.9751000000000003</v>
      </c>
      <c r="Z64">
        <v>5.306</v>
      </c>
      <c r="AE64">
        <v>6.8552</v>
      </c>
      <c r="AJ64">
        <v>6.8875999999999999</v>
      </c>
      <c r="CI64" t="s">
        <v>38</v>
      </c>
      <c r="CJ64" t="s">
        <v>32</v>
      </c>
      <c r="CK64" t="s">
        <v>39</v>
      </c>
    </row>
    <row r="65" spans="1:89" x14ac:dyDescent="0.45">
      <c r="A65" t="s">
        <v>24</v>
      </c>
      <c r="B65" t="s">
        <v>1</v>
      </c>
      <c r="C65" t="s">
        <v>46</v>
      </c>
      <c r="D65" t="s">
        <v>36</v>
      </c>
      <c r="E65" t="s">
        <v>31</v>
      </c>
      <c r="F65">
        <v>3.6044999999999998</v>
      </c>
      <c r="K65">
        <v>4.1002999999999998</v>
      </c>
      <c r="P65">
        <v>13.1716</v>
      </c>
      <c r="U65">
        <v>-11.7966</v>
      </c>
      <c r="Z65">
        <v>9.2448999999999995</v>
      </c>
      <c r="AE65">
        <v>7.7660999999999998</v>
      </c>
      <c r="AJ65">
        <v>8.3611000000000004</v>
      </c>
      <c r="CI65" t="s">
        <v>36</v>
      </c>
      <c r="CJ65" t="s">
        <v>32</v>
      </c>
      <c r="CK65" t="s">
        <v>37</v>
      </c>
    </row>
    <row r="66" spans="1:89" x14ac:dyDescent="0.45">
      <c r="A66" t="s">
        <v>24</v>
      </c>
      <c r="B66" t="s">
        <v>4</v>
      </c>
      <c r="C66" t="s">
        <v>46</v>
      </c>
      <c r="D66" t="s">
        <v>38</v>
      </c>
      <c r="E66" t="s">
        <v>31</v>
      </c>
      <c r="F66">
        <v>3.5491999999999999</v>
      </c>
      <c r="K66">
        <v>4.9105999999999996</v>
      </c>
      <c r="P66">
        <v>4.7489999999999997</v>
      </c>
      <c r="U66">
        <v>5.4027000000000003</v>
      </c>
      <c r="Z66">
        <v>5.6605999999999996</v>
      </c>
      <c r="AE66">
        <v>6.1624999999999996</v>
      </c>
      <c r="AJ66">
        <v>6.5091999999999999</v>
      </c>
      <c r="CI66" t="s">
        <v>38</v>
      </c>
      <c r="CJ66" t="s">
        <v>32</v>
      </c>
      <c r="CK66" t="s">
        <v>39</v>
      </c>
    </row>
    <row r="67" spans="1:89" x14ac:dyDescent="0.45">
      <c r="A67" t="s">
        <v>24</v>
      </c>
      <c r="B67" t="s">
        <v>2</v>
      </c>
      <c r="C67" t="s">
        <v>46</v>
      </c>
      <c r="D67" t="s">
        <v>34</v>
      </c>
      <c r="E67" t="s">
        <v>31</v>
      </c>
      <c r="F67">
        <v>2.4399000000000002</v>
      </c>
      <c r="K67">
        <v>2.2303000000000002</v>
      </c>
      <c r="P67">
        <v>1.5405</v>
      </c>
      <c r="U67">
        <v>7.2599999999999998E-2</v>
      </c>
      <c r="Z67">
        <v>0.78210000000000002</v>
      </c>
      <c r="AE67">
        <v>1.6803999999999999</v>
      </c>
      <c r="AJ67">
        <v>1.796</v>
      </c>
      <c r="CI67" t="s">
        <v>34</v>
      </c>
      <c r="CJ67" t="s">
        <v>32</v>
      </c>
      <c r="CK67" t="s">
        <v>35</v>
      </c>
    </row>
    <row r="68" spans="1:89" x14ac:dyDescent="0.45">
      <c r="A68" t="s">
        <v>24</v>
      </c>
      <c r="B68" t="s">
        <v>2</v>
      </c>
      <c r="C68" t="s">
        <v>46</v>
      </c>
      <c r="D68" t="s">
        <v>36</v>
      </c>
      <c r="E68" t="s">
        <v>31</v>
      </c>
      <c r="F68">
        <v>3.6044999999999998</v>
      </c>
      <c r="K68">
        <v>4.1002999999999998</v>
      </c>
      <c r="P68">
        <v>4.5500999999999996</v>
      </c>
      <c r="U68">
        <v>4.7310999999999996</v>
      </c>
      <c r="Z68">
        <v>4.8822000000000001</v>
      </c>
      <c r="AE68">
        <v>5.1181999999999999</v>
      </c>
      <c r="AJ68">
        <v>5.3502999999999998</v>
      </c>
      <c r="CI68" t="s">
        <v>36</v>
      </c>
      <c r="CJ68" t="s">
        <v>32</v>
      </c>
      <c r="CK68" t="s">
        <v>37</v>
      </c>
    </row>
    <row r="69" spans="1:89" x14ac:dyDescent="0.45">
      <c r="A69" t="s">
        <v>24</v>
      </c>
      <c r="B69" t="s">
        <v>2</v>
      </c>
      <c r="C69" t="s">
        <v>46</v>
      </c>
      <c r="D69" t="s">
        <v>38</v>
      </c>
      <c r="E69" t="s">
        <v>31</v>
      </c>
      <c r="F69">
        <v>3.5491999999999999</v>
      </c>
      <c r="K69">
        <v>4.7690000000000001</v>
      </c>
      <c r="P69">
        <v>4.7930999999999999</v>
      </c>
      <c r="U69">
        <v>5.4271000000000003</v>
      </c>
      <c r="Z69">
        <v>5.2074999999999996</v>
      </c>
      <c r="AE69">
        <v>6.0766999999999998</v>
      </c>
      <c r="AJ69">
        <v>6.2126000000000001</v>
      </c>
      <c r="CI69" t="s">
        <v>38</v>
      </c>
      <c r="CJ69" t="s">
        <v>32</v>
      </c>
      <c r="CK69" t="s">
        <v>39</v>
      </c>
    </row>
    <row r="70" spans="1:89" x14ac:dyDescent="0.45">
      <c r="A70" t="s">
        <v>24</v>
      </c>
      <c r="B70" t="s">
        <v>4</v>
      </c>
      <c r="C70" t="s">
        <v>46</v>
      </c>
      <c r="D70" t="s">
        <v>36</v>
      </c>
      <c r="E70" t="s">
        <v>31</v>
      </c>
      <c r="F70">
        <v>3.6044999999999998</v>
      </c>
      <c r="K70">
        <v>3.7021000000000002</v>
      </c>
      <c r="P70">
        <v>4.2958999999999996</v>
      </c>
      <c r="U70">
        <v>4.4800000000000004</v>
      </c>
      <c r="Z70">
        <v>4.6310000000000002</v>
      </c>
      <c r="AE70">
        <v>4.8533999999999997</v>
      </c>
      <c r="AJ70">
        <v>5.0925000000000002</v>
      </c>
      <c r="CI70" t="s">
        <v>36</v>
      </c>
      <c r="CJ70" t="s">
        <v>32</v>
      </c>
      <c r="CK70" t="s">
        <v>37</v>
      </c>
    </row>
    <row r="71" spans="1:89" x14ac:dyDescent="0.45">
      <c r="A71" t="s">
        <v>24</v>
      </c>
      <c r="B71" t="s">
        <v>4</v>
      </c>
      <c r="C71" t="s">
        <v>46</v>
      </c>
      <c r="D71" t="s">
        <v>34</v>
      </c>
      <c r="E71" t="s">
        <v>31</v>
      </c>
      <c r="F71">
        <v>2.4399000000000002</v>
      </c>
      <c r="K71">
        <v>2.6446000000000001</v>
      </c>
      <c r="P71">
        <v>2.5596999999999999</v>
      </c>
      <c r="U71">
        <v>2.5588000000000002</v>
      </c>
      <c r="Z71">
        <v>2.6313</v>
      </c>
      <c r="AE71">
        <v>2.6126999999999998</v>
      </c>
      <c r="AJ71">
        <v>2.6955</v>
      </c>
      <c r="CI71" t="s">
        <v>34</v>
      </c>
      <c r="CJ71" t="s">
        <v>32</v>
      </c>
      <c r="CK71" t="s">
        <v>35</v>
      </c>
    </row>
    <row r="72" spans="1:89" x14ac:dyDescent="0.45">
      <c r="A72" t="s">
        <v>24</v>
      </c>
      <c r="B72" t="s">
        <v>0</v>
      </c>
      <c r="C72" t="s">
        <v>46</v>
      </c>
      <c r="D72" t="s">
        <v>36</v>
      </c>
      <c r="E72" t="s">
        <v>31</v>
      </c>
      <c r="F72">
        <v>3.6044999999999998</v>
      </c>
      <c r="K72">
        <v>3.7021000000000002</v>
      </c>
      <c r="P72">
        <v>4.2958999999999996</v>
      </c>
      <c r="U72">
        <v>4.7169999999999996</v>
      </c>
      <c r="Z72">
        <v>4.9889999999999999</v>
      </c>
      <c r="AE72">
        <v>5.2314999999999996</v>
      </c>
      <c r="AJ72">
        <v>5.8547000000000002</v>
      </c>
      <c r="CI72" t="s">
        <v>36</v>
      </c>
      <c r="CJ72" t="s">
        <v>32</v>
      </c>
      <c r="CK72" t="s">
        <v>37</v>
      </c>
    </row>
    <row r="73" spans="1:89" x14ac:dyDescent="0.45">
      <c r="A73" t="s">
        <v>24</v>
      </c>
      <c r="B73" t="s">
        <v>4</v>
      </c>
      <c r="C73" t="s">
        <v>46</v>
      </c>
      <c r="D73" t="s">
        <v>30</v>
      </c>
      <c r="E73" t="s">
        <v>31</v>
      </c>
      <c r="F73">
        <v>4.4684999999999997</v>
      </c>
      <c r="K73">
        <v>1.9009</v>
      </c>
      <c r="P73">
        <v>6.2432999999999996</v>
      </c>
      <c r="U73">
        <v>2.8513000000000002</v>
      </c>
      <c r="Z73">
        <v>5.9336000000000002</v>
      </c>
      <c r="AE73">
        <v>3.2418999999999998</v>
      </c>
      <c r="AJ73">
        <v>4.3316999999999997</v>
      </c>
      <c r="CI73" t="s">
        <v>30</v>
      </c>
      <c r="CJ73" t="s">
        <v>32</v>
      </c>
      <c r="CK73" t="s">
        <v>33</v>
      </c>
    </row>
    <row r="74" spans="1:89" x14ac:dyDescent="0.45">
      <c r="A74" t="s">
        <v>24</v>
      </c>
      <c r="B74" t="s">
        <v>5</v>
      </c>
      <c r="C74" t="s">
        <v>46</v>
      </c>
      <c r="D74" t="s">
        <v>36</v>
      </c>
      <c r="E74" t="s">
        <v>31</v>
      </c>
      <c r="F74">
        <v>3.6044999999999998</v>
      </c>
      <c r="K74">
        <v>4.1002999999999998</v>
      </c>
      <c r="P74">
        <v>1.7803</v>
      </c>
      <c r="U74">
        <v>-9.1899999999999996E-2</v>
      </c>
      <c r="Z74">
        <v>3.5255999999999998</v>
      </c>
      <c r="AE74">
        <v>7.0002000000000004</v>
      </c>
      <c r="AJ74">
        <v>6.1596000000000002</v>
      </c>
      <c r="CI74" t="s">
        <v>36</v>
      </c>
      <c r="CJ74" t="s">
        <v>32</v>
      </c>
      <c r="CK74" t="s">
        <v>37</v>
      </c>
    </row>
    <row r="75" spans="1:89" x14ac:dyDescent="0.45">
      <c r="A75" t="s">
        <v>24</v>
      </c>
      <c r="B75" t="s">
        <v>5</v>
      </c>
      <c r="C75" t="s">
        <v>46</v>
      </c>
      <c r="D75" t="s">
        <v>34</v>
      </c>
      <c r="E75" t="s">
        <v>31</v>
      </c>
      <c r="F75">
        <v>2.4399000000000002</v>
      </c>
      <c r="K75">
        <v>2.2303000000000002</v>
      </c>
      <c r="P75">
        <v>-10.6768</v>
      </c>
      <c r="U75">
        <v>-5.3540000000000001</v>
      </c>
      <c r="Z75">
        <v>3.6063999999999998</v>
      </c>
      <c r="AE75">
        <v>4.5979000000000001</v>
      </c>
      <c r="AJ75">
        <v>5.8563999999999998</v>
      </c>
      <c r="CI75" t="s">
        <v>34</v>
      </c>
      <c r="CJ75" t="s">
        <v>32</v>
      </c>
      <c r="CK75" t="s">
        <v>35</v>
      </c>
    </row>
    <row r="76" spans="1:89" x14ac:dyDescent="0.45">
      <c r="A76" t="s">
        <v>24</v>
      </c>
      <c r="B76" t="s">
        <v>1</v>
      </c>
      <c r="C76" t="s">
        <v>46</v>
      </c>
      <c r="D76" t="s">
        <v>30</v>
      </c>
      <c r="E76" t="s">
        <v>31</v>
      </c>
      <c r="F76">
        <v>4.4684999999999997</v>
      </c>
      <c r="K76">
        <v>3.3054000000000001</v>
      </c>
      <c r="P76">
        <v>41.438499999999998</v>
      </c>
      <c r="U76">
        <v>22.3018</v>
      </c>
      <c r="Z76">
        <v>36.462699999999998</v>
      </c>
      <c r="AE76">
        <v>43.105600000000003</v>
      </c>
      <c r="AJ76">
        <v>39.630600000000001</v>
      </c>
      <c r="CI76" t="s">
        <v>30</v>
      </c>
      <c r="CJ76" t="s">
        <v>32</v>
      </c>
      <c r="CK76" t="s">
        <v>33</v>
      </c>
    </row>
    <row r="77" spans="1:89" x14ac:dyDescent="0.45">
      <c r="A77" t="s">
        <v>24</v>
      </c>
      <c r="B77" t="s">
        <v>1</v>
      </c>
      <c r="C77" t="s">
        <v>46</v>
      </c>
      <c r="D77" t="s">
        <v>34</v>
      </c>
      <c r="E77" t="s">
        <v>31</v>
      </c>
      <c r="F77">
        <v>2.4399000000000002</v>
      </c>
      <c r="K77">
        <v>2.2303000000000002</v>
      </c>
      <c r="P77">
        <v>-22.0642</v>
      </c>
      <c r="U77">
        <v>-7.1971999999999996</v>
      </c>
      <c r="Z77">
        <v>6.1932</v>
      </c>
      <c r="AE77">
        <v>7.0406000000000004</v>
      </c>
      <c r="AJ77">
        <v>9.2357999999999993</v>
      </c>
      <c r="CI77" t="s">
        <v>34</v>
      </c>
      <c r="CJ77" t="s">
        <v>32</v>
      </c>
      <c r="CK77" t="s">
        <v>35</v>
      </c>
    </row>
    <row r="78" spans="1:89" x14ac:dyDescent="0.45">
      <c r="A78" t="s">
        <v>24</v>
      </c>
      <c r="B78" t="s">
        <v>5</v>
      </c>
      <c r="C78" t="s">
        <v>46</v>
      </c>
      <c r="D78" t="s">
        <v>38</v>
      </c>
      <c r="E78" t="s">
        <v>31</v>
      </c>
      <c r="F78">
        <v>3.5491999999999999</v>
      </c>
      <c r="K78">
        <v>4.7690000000000001</v>
      </c>
      <c r="P78">
        <v>3.5215000000000001</v>
      </c>
      <c r="U78">
        <v>5.4531999999999998</v>
      </c>
      <c r="Z78">
        <v>4.8071000000000002</v>
      </c>
      <c r="AE78">
        <v>10.267799999999999</v>
      </c>
      <c r="AJ78">
        <v>3.3336999999999999</v>
      </c>
      <c r="CI78" t="s">
        <v>38</v>
      </c>
      <c r="CJ78" t="s">
        <v>32</v>
      </c>
      <c r="CK78" t="s">
        <v>39</v>
      </c>
    </row>
    <row r="79" spans="1:89" x14ac:dyDescent="0.45">
      <c r="A79" t="s">
        <v>24</v>
      </c>
      <c r="B79" t="s">
        <v>0</v>
      </c>
      <c r="C79" t="s">
        <v>46</v>
      </c>
      <c r="D79" t="s">
        <v>55</v>
      </c>
      <c r="E79" t="s">
        <v>48</v>
      </c>
      <c r="F79">
        <v>3511.9951999999998</v>
      </c>
      <c r="K79">
        <v>3834.7415000000001</v>
      </c>
      <c r="P79">
        <v>3500.6311000000001</v>
      </c>
      <c r="U79">
        <v>2423.9598999999998</v>
      </c>
      <c r="Z79">
        <v>1912.0378000000001</v>
      </c>
      <c r="AE79">
        <v>1355.3801000000001</v>
      </c>
      <c r="AJ79">
        <v>771.41719999999998</v>
      </c>
      <c r="CI79" t="s">
        <v>55</v>
      </c>
      <c r="CJ79" t="s">
        <v>56</v>
      </c>
      <c r="CK79" t="s">
        <v>57</v>
      </c>
    </row>
    <row r="80" spans="1:89" x14ac:dyDescent="0.45">
      <c r="A80" t="s">
        <v>24</v>
      </c>
      <c r="B80" t="s">
        <v>0</v>
      </c>
      <c r="C80" t="s">
        <v>46</v>
      </c>
      <c r="D80" t="s">
        <v>58</v>
      </c>
      <c r="E80" t="s">
        <v>48</v>
      </c>
      <c r="F80">
        <v>4777.7187000000004</v>
      </c>
      <c r="K80">
        <v>5166.0857999999998</v>
      </c>
      <c r="P80">
        <v>4954.5560999999998</v>
      </c>
      <c r="U80">
        <v>3919.0261</v>
      </c>
      <c r="Z80">
        <v>3454.6601999999998</v>
      </c>
      <c r="AE80">
        <v>2888.5947000000001</v>
      </c>
      <c r="AJ80">
        <v>2294.7570999999998</v>
      </c>
      <c r="CI80" t="s">
        <v>58</v>
      </c>
      <c r="CJ80" t="s">
        <v>56</v>
      </c>
      <c r="CK80" t="s">
        <v>57</v>
      </c>
    </row>
    <row r="81" spans="1:89" x14ac:dyDescent="0.45">
      <c r="A81" t="s">
        <v>24</v>
      </c>
      <c r="B81" t="s">
        <v>5</v>
      </c>
      <c r="C81" t="s">
        <v>46</v>
      </c>
      <c r="D81" t="s">
        <v>58</v>
      </c>
      <c r="E81" t="s">
        <v>48</v>
      </c>
      <c r="F81">
        <v>4726.8642</v>
      </c>
      <c r="K81">
        <v>4290.0275000000001</v>
      </c>
      <c r="P81">
        <v>2609.8845999999999</v>
      </c>
      <c r="U81">
        <v>1948.6714999999999</v>
      </c>
      <c r="Z81">
        <v>1413.0741</v>
      </c>
      <c r="AE81">
        <v>1103.4302</v>
      </c>
      <c r="AJ81">
        <v>745.19169999999997</v>
      </c>
      <c r="CI81" t="s">
        <v>58</v>
      </c>
      <c r="CJ81" t="s">
        <v>56</v>
      </c>
      <c r="CK81" t="s">
        <v>57</v>
      </c>
    </row>
    <row r="82" spans="1:89" x14ac:dyDescent="0.45">
      <c r="A82" t="s">
        <v>24</v>
      </c>
      <c r="B82" t="s">
        <v>2</v>
      </c>
      <c r="C82" t="s">
        <v>46</v>
      </c>
      <c r="D82" t="s">
        <v>55</v>
      </c>
      <c r="E82" t="s">
        <v>48</v>
      </c>
      <c r="F82">
        <v>3504.6698000000001</v>
      </c>
      <c r="K82">
        <v>2994.8148000000001</v>
      </c>
      <c r="P82">
        <v>2295.7707999999998</v>
      </c>
      <c r="U82">
        <v>2107.7370000000001</v>
      </c>
      <c r="Z82">
        <v>1780.7761</v>
      </c>
      <c r="AE82">
        <v>1463.3371</v>
      </c>
      <c r="AJ82">
        <v>1321.7732000000001</v>
      </c>
      <c r="CI82" t="s">
        <v>55</v>
      </c>
      <c r="CJ82" t="s">
        <v>56</v>
      </c>
      <c r="CK82" t="s">
        <v>57</v>
      </c>
    </row>
    <row r="83" spans="1:89" x14ac:dyDescent="0.45">
      <c r="A83" t="s">
        <v>24</v>
      </c>
      <c r="B83" t="s">
        <v>6</v>
      </c>
      <c r="C83" t="s">
        <v>46</v>
      </c>
      <c r="D83" t="s">
        <v>55</v>
      </c>
      <c r="E83" t="s">
        <v>48</v>
      </c>
      <c r="F83">
        <v>3499.0915</v>
      </c>
      <c r="K83">
        <v>3792.1082999999999</v>
      </c>
      <c r="P83">
        <v>3429.6617000000001</v>
      </c>
      <c r="U83">
        <v>2838.4924999999998</v>
      </c>
      <c r="Z83">
        <v>2181.6372999999999</v>
      </c>
      <c r="AE83">
        <v>1575.3838000000001</v>
      </c>
      <c r="AJ83">
        <v>1027.3495</v>
      </c>
      <c r="CI83" t="s">
        <v>55</v>
      </c>
      <c r="CJ83" t="s">
        <v>56</v>
      </c>
      <c r="CK83" t="s">
        <v>57</v>
      </c>
    </row>
    <row r="84" spans="1:89" x14ac:dyDescent="0.45">
      <c r="A84" t="s">
        <v>24</v>
      </c>
      <c r="B84" t="s">
        <v>6</v>
      </c>
      <c r="C84" t="s">
        <v>46</v>
      </c>
      <c r="D84" t="s">
        <v>58</v>
      </c>
      <c r="E84" t="s">
        <v>48</v>
      </c>
      <c r="F84">
        <v>4765.1273000000001</v>
      </c>
      <c r="K84">
        <v>5150.5231999999996</v>
      </c>
      <c r="P84">
        <v>4937.4916000000003</v>
      </c>
      <c r="U84">
        <v>4415.7775000000001</v>
      </c>
      <c r="Z84">
        <v>3833.6682999999998</v>
      </c>
      <c r="AE84">
        <v>3272.2867000000001</v>
      </c>
      <c r="AJ84">
        <v>2767.2750000000001</v>
      </c>
      <c r="CI84" t="s">
        <v>58</v>
      </c>
      <c r="CJ84" t="s">
        <v>56</v>
      </c>
      <c r="CK84" t="s">
        <v>57</v>
      </c>
    </row>
    <row r="85" spans="1:89" x14ac:dyDescent="0.45">
      <c r="A85" t="s">
        <v>24</v>
      </c>
      <c r="B85" t="s">
        <v>3</v>
      </c>
      <c r="C85" t="s">
        <v>46</v>
      </c>
      <c r="D85" t="s">
        <v>58</v>
      </c>
      <c r="E85" t="s">
        <v>48</v>
      </c>
      <c r="F85">
        <v>4762.6923999999999</v>
      </c>
      <c r="K85">
        <v>4344.6644999999999</v>
      </c>
      <c r="P85">
        <v>3515.8908999999999</v>
      </c>
      <c r="U85">
        <v>3314.0185000000001</v>
      </c>
      <c r="Z85">
        <v>3011.2728999999999</v>
      </c>
      <c r="AE85">
        <v>2546.7710999999999</v>
      </c>
      <c r="AJ85">
        <v>1919.1588999999999</v>
      </c>
      <c r="CI85" t="s">
        <v>58</v>
      </c>
      <c r="CJ85" t="s">
        <v>56</v>
      </c>
      <c r="CK85" t="s">
        <v>57</v>
      </c>
    </row>
    <row r="86" spans="1:89" x14ac:dyDescent="0.45">
      <c r="A86" t="s">
        <v>24</v>
      </c>
      <c r="B86" t="s">
        <v>2</v>
      </c>
      <c r="C86" t="s">
        <v>46</v>
      </c>
      <c r="D86" t="s">
        <v>58</v>
      </c>
      <c r="E86" t="s">
        <v>48</v>
      </c>
      <c r="F86">
        <v>4770.5772999999999</v>
      </c>
      <c r="K86">
        <v>4356.5048999999999</v>
      </c>
      <c r="P86">
        <v>3844.0466999999999</v>
      </c>
      <c r="U86">
        <v>3717.3164000000002</v>
      </c>
      <c r="Z86">
        <v>3447.8739</v>
      </c>
      <c r="AE86">
        <v>3165.9227999999998</v>
      </c>
      <c r="AJ86">
        <v>3062.1396</v>
      </c>
      <c r="CI86" t="s">
        <v>58</v>
      </c>
      <c r="CJ86" t="s">
        <v>56</v>
      </c>
      <c r="CK86" t="s">
        <v>57</v>
      </c>
    </row>
    <row r="87" spans="1:89" x14ac:dyDescent="0.45">
      <c r="A87" t="s">
        <v>24</v>
      </c>
      <c r="B87" t="s">
        <v>4</v>
      </c>
      <c r="C87" t="s">
        <v>46</v>
      </c>
      <c r="D87" t="s">
        <v>55</v>
      </c>
      <c r="E87" t="s">
        <v>48</v>
      </c>
      <c r="F87">
        <v>3511.7665999999999</v>
      </c>
      <c r="K87">
        <v>3780.5221999999999</v>
      </c>
      <c r="P87">
        <v>3392.7710000000002</v>
      </c>
      <c r="U87">
        <v>3429.3721999999998</v>
      </c>
      <c r="Z87">
        <v>2866.6705000000002</v>
      </c>
      <c r="AE87">
        <v>2928.8069999999998</v>
      </c>
      <c r="AJ87">
        <v>3093.7332000000001</v>
      </c>
      <c r="CI87" t="s">
        <v>55</v>
      </c>
      <c r="CJ87" t="s">
        <v>56</v>
      </c>
      <c r="CK87" t="s">
        <v>57</v>
      </c>
    </row>
    <row r="88" spans="1:89" x14ac:dyDescent="0.45">
      <c r="A88" t="s">
        <v>24</v>
      </c>
      <c r="B88" t="s">
        <v>4</v>
      </c>
      <c r="C88" t="s">
        <v>46</v>
      </c>
      <c r="D88" t="s">
        <v>58</v>
      </c>
      <c r="E88" t="s">
        <v>48</v>
      </c>
      <c r="F88">
        <v>4777.4350000000004</v>
      </c>
      <c r="K88">
        <v>5165.2668000000003</v>
      </c>
      <c r="P88">
        <v>4953.5533999999998</v>
      </c>
      <c r="U88">
        <v>5047.5425999999998</v>
      </c>
      <c r="Z88">
        <v>4540.8406000000004</v>
      </c>
      <c r="AE88">
        <v>4656.5820999999996</v>
      </c>
      <c r="AJ88">
        <v>4873.9349000000002</v>
      </c>
      <c r="CI88" t="s">
        <v>58</v>
      </c>
      <c r="CJ88" t="s">
        <v>56</v>
      </c>
      <c r="CK88" t="s">
        <v>57</v>
      </c>
    </row>
    <row r="89" spans="1:89" x14ac:dyDescent="0.45">
      <c r="A89" t="s">
        <v>24</v>
      </c>
      <c r="B89" t="s">
        <v>1</v>
      </c>
      <c r="C89" t="s">
        <v>46</v>
      </c>
      <c r="D89" t="s">
        <v>58</v>
      </c>
      <c r="E89" t="s">
        <v>48</v>
      </c>
      <c r="F89">
        <v>4762.5577000000003</v>
      </c>
      <c r="K89">
        <v>4345.2551000000003</v>
      </c>
      <c r="P89">
        <v>2560.8157000000001</v>
      </c>
      <c r="U89">
        <v>1772.7556</v>
      </c>
      <c r="Z89">
        <v>1331.9151999999999</v>
      </c>
      <c r="AE89">
        <v>871.11369999999999</v>
      </c>
      <c r="AJ89">
        <v>534.24360000000001</v>
      </c>
      <c r="CI89" t="s">
        <v>58</v>
      </c>
      <c r="CJ89" t="s">
        <v>56</v>
      </c>
      <c r="CK89" t="s">
        <v>57</v>
      </c>
    </row>
    <row r="90" spans="1:89" x14ac:dyDescent="0.45">
      <c r="A90" t="s">
        <v>24</v>
      </c>
      <c r="B90" t="s">
        <v>1</v>
      </c>
      <c r="C90" t="s">
        <v>46</v>
      </c>
      <c r="D90" t="s">
        <v>55</v>
      </c>
      <c r="E90" t="s">
        <v>48</v>
      </c>
      <c r="F90">
        <v>3496.8627000000001</v>
      </c>
      <c r="K90">
        <v>3010.7838000000002</v>
      </c>
      <c r="P90">
        <v>1033.8266000000001</v>
      </c>
      <c r="U90">
        <v>251.49430000000001</v>
      </c>
      <c r="Z90">
        <v>-192.68780000000001</v>
      </c>
      <c r="AE90">
        <v>-630.91039999999998</v>
      </c>
      <c r="AJ90">
        <v>-945.87819999999999</v>
      </c>
      <c r="CI90" t="s">
        <v>55</v>
      </c>
      <c r="CJ90" t="s">
        <v>56</v>
      </c>
      <c r="CK90" t="s">
        <v>57</v>
      </c>
    </row>
    <row r="91" spans="1:89" x14ac:dyDescent="0.45">
      <c r="A91" t="s">
        <v>24</v>
      </c>
      <c r="B91" t="s">
        <v>5</v>
      </c>
      <c r="C91" t="s">
        <v>46</v>
      </c>
      <c r="D91" t="s">
        <v>55</v>
      </c>
      <c r="E91" t="s">
        <v>48</v>
      </c>
      <c r="F91">
        <v>3460.0346</v>
      </c>
      <c r="K91">
        <v>2954.0470999999998</v>
      </c>
      <c r="P91">
        <v>1089.3561</v>
      </c>
      <c r="U91">
        <v>458.01740000000001</v>
      </c>
      <c r="Z91">
        <v>-50.011299999999999</v>
      </c>
      <c r="AE91">
        <v>-345.88900000000001</v>
      </c>
      <c r="AJ91">
        <v>-690.66070000000002</v>
      </c>
      <c r="CI91" t="s">
        <v>55</v>
      </c>
      <c r="CJ91" t="s">
        <v>56</v>
      </c>
      <c r="CK91" t="s">
        <v>57</v>
      </c>
    </row>
    <row r="92" spans="1:89" x14ac:dyDescent="0.45">
      <c r="A92" t="s">
        <v>24</v>
      </c>
      <c r="B92" t="s">
        <v>3</v>
      </c>
      <c r="C92" t="s">
        <v>46</v>
      </c>
      <c r="D92" t="s">
        <v>55</v>
      </c>
      <c r="E92" t="s">
        <v>48</v>
      </c>
      <c r="F92">
        <v>3496.8701999999998</v>
      </c>
      <c r="K92">
        <v>3009.8681999999999</v>
      </c>
      <c r="P92">
        <v>2015.9817</v>
      </c>
      <c r="U92">
        <v>1777.3175000000001</v>
      </c>
      <c r="Z92">
        <v>1431.9012</v>
      </c>
      <c r="AE92">
        <v>980.6585</v>
      </c>
      <c r="AJ92">
        <v>366.85219999999998</v>
      </c>
      <c r="CI92" t="s">
        <v>55</v>
      </c>
      <c r="CJ92" t="s">
        <v>56</v>
      </c>
      <c r="CK92" t="s">
        <v>57</v>
      </c>
    </row>
    <row r="93" spans="1:89" x14ac:dyDescent="0.45">
      <c r="A93" t="s">
        <v>24</v>
      </c>
      <c r="B93" t="s">
        <v>0</v>
      </c>
      <c r="C93" t="s">
        <v>46</v>
      </c>
      <c r="D93" t="s">
        <v>59</v>
      </c>
      <c r="E93" t="s">
        <v>48</v>
      </c>
      <c r="F93">
        <v>0</v>
      </c>
      <c r="K93">
        <v>0</v>
      </c>
      <c r="P93">
        <v>0</v>
      </c>
      <c r="U93">
        <v>3.8273000000000001</v>
      </c>
      <c r="Z93">
        <v>3.7490000000000001</v>
      </c>
      <c r="AE93">
        <v>14.2933</v>
      </c>
      <c r="AJ93">
        <v>22.784600000000001</v>
      </c>
      <c r="CI93" t="s">
        <v>59</v>
      </c>
    </row>
    <row r="94" spans="1:89" x14ac:dyDescent="0.45">
      <c r="A94" t="s">
        <v>24</v>
      </c>
      <c r="B94" t="s">
        <v>0</v>
      </c>
      <c r="C94" t="s">
        <v>46</v>
      </c>
      <c r="D94" t="s">
        <v>60</v>
      </c>
      <c r="E94" t="s">
        <v>48</v>
      </c>
      <c r="F94">
        <v>0</v>
      </c>
      <c r="K94">
        <v>0</v>
      </c>
      <c r="P94">
        <v>0</v>
      </c>
      <c r="U94">
        <v>36.259</v>
      </c>
      <c r="Z94">
        <v>87.546499999999995</v>
      </c>
      <c r="AE94">
        <v>152.0943</v>
      </c>
      <c r="AJ94">
        <v>251.34180000000001</v>
      </c>
      <c r="CI94" t="s">
        <v>60</v>
      </c>
    </row>
    <row r="95" spans="1:89" x14ac:dyDescent="0.45">
      <c r="A95" t="s">
        <v>24</v>
      </c>
      <c r="B95" t="s">
        <v>0</v>
      </c>
      <c r="C95" t="s">
        <v>46</v>
      </c>
      <c r="D95" t="s">
        <v>61</v>
      </c>
      <c r="E95" t="s">
        <v>48</v>
      </c>
      <c r="F95">
        <v>0</v>
      </c>
      <c r="K95">
        <v>0</v>
      </c>
      <c r="P95">
        <v>0</v>
      </c>
      <c r="U95">
        <v>3.1749000000000001</v>
      </c>
      <c r="Z95">
        <v>22.258199999999999</v>
      </c>
      <c r="AE95">
        <v>21.977799999999998</v>
      </c>
      <c r="AJ95">
        <v>21.7318</v>
      </c>
      <c r="CI95" t="s">
        <v>61</v>
      </c>
    </row>
    <row r="96" spans="1:89" x14ac:dyDescent="0.45">
      <c r="A96" t="s">
        <v>24</v>
      </c>
      <c r="B96" t="s">
        <v>0</v>
      </c>
      <c r="C96" t="s">
        <v>46</v>
      </c>
      <c r="D96" t="s">
        <v>62</v>
      </c>
      <c r="E96" t="s">
        <v>48</v>
      </c>
      <c r="F96">
        <v>164.14009999999999</v>
      </c>
      <c r="K96">
        <v>150.56809999999999</v>
      </c>
      <c r="P96">
        <v>136.4</v>
      </c>
      <c r="U96">
        <v>123.0864</v>
      </c>
      <c r="Z96">
        <v>108.2255</v>
      </c>
      <c r="AE96">
        <v>93.1648</v>
      </c>
      <c r="AJ96">
        <v>77.716300000000004</v>
      </c>
      <c r="CI96" t="s">
        <v>62</v>
      </c>
    </row>
    <row r="97" spans="1:87" x14ac:dyDescent="0.45">
      <c r="A97" t="s">
        <v>24</v>
      </c>
      <c r="B97" t="s">
        <v>0</v>
      </c>
      <c r="C97" t="s">
        <v>46</v>
      </c>
      <c r="D97" t="s">
        <v>63</v>
      </c>
      <c r="E97" t="s">
        <v>48</v>
      </c>
      <c r="F97">
        <v>-1429.8635999999999</v>
      </c>
      <c r="K97">
        <v>-1481.9123999999999</v>
      </c>
      <c r="P97">
        <v>-1590.325</v>
      </c>
      <c r="U97">
        <v>-1618.1525999999999</v>
      </c>
      <c r="Z97">
        <v>-1650.8478</v>
      </c>
      <c r="AE97">
        <v>-1626.3794</v>
      </c>
      <c r="AJ97">
        <v>-1601.0562</v>
      </c>
      <c r="CI97" t="s">
        <v>63</v>
      </c>
    </row>
    <row r="98" spans="1:87" x14ac:dyDescent="0.45">
      <c r="A98" t="s">
        <v>24</v>
      </c>
      <c r="B98" t="s">
        <v>0</v>
      </c>
      <c r="C98" t="s">
        <v>46</v>
      </c>
      <c r="D98" t="s">
        <v>64</v>
      </c>
      <c r="E98" t="s">
        <v>48</v>
      </c>
      <c r="F98">
        <v>-534.70759999999996</v>
      </c>
      <c r="K98">
        <v>-588.17830000000004</v>
      </c>
      <c r="P98">
        <v>-641.64909999999998</v>
      </c>
      <c r="U98">
        <v>-641.64909999999998</v>
      </c>
      <c r="Z98">
        <v>-641.64909999999998</v>
      </c>
      <c r="AE98">
        <v>-588.17830000000004</v>
      </c>
      <c r="AJ98">
        <v>-534.70759999999996</v>
      </c>
      <c r="CI98" t="s">
        <v>64</v>
      </c>
    </row>
    <row r="99" spans="1:87" x14ac:dyDescent="0.45">
      <c r="A99" t="s">
        <v>24</v>
      </c>
      <c r="B99" t="s">
        <v>0</v>
      </c>
      <c r="C99" t="s">
        <v>46</v>
      </c>
      <c r="D99" t="s">
        <v>65</v>
      </c>
      <c r="E99" t="s">
        <v>66</v>
      </c>
      <c r="F99">
        <v>4742.5517</v>
      </c>
      <c r="K99">
        <v>5020.6039000000001</v>
      </c>
      <c r="P99">
        <v>4559.3271999999997</v>
      </c>
      <c r="U99">
        <v>3315.6026999999999</v>
      </c>
      <c r="Z99">
        <v>2826.5189999999998</v>
      </c>
      <c r="AE99">
        <v>2212.0636</v>
      </c>
      <c r="AJ99">
        <v>1488.7963</v>
      </c>
      <c r="CI99" t="s">
        <v>65</v>
      </c>
    </row>
    <row r="100" spans="1:87" x14ac:dyDescent="0.45">
      <c r="A100" t="s">
        <v>24</v>
      </c>
      <c r="B100" t="s">
        <v>0</v>
      </c>
      <c r="C100" t="s">
        <v>46</v>
      </c>
      <c r="D100" t="s">
        <v>67</v>
      </c>
      <c r="E100" t="s">
        <v>66</v>
      </c>
      <c r="F100">
        <v>1230.5565999999999</v>
      </c>
      <c r="K100">
        <v>1185.8623</v>
      </c>
      <c r="P100">
        <v>1058.6960999999999</v>
      </c>
      <c r="U100">
        <v>891.64279999999997</v>
      </c>
      <c r="Z100">
        <v>914.48119999999994</v>
      </c>
      <c r="AE100">
        <v>856.68349999999998</v>
      </c>
      <c r="AJ100">
        <v>717.37909999999999</v>
      </c>
      <c r="CI100" t="s">
        <v>67</v>
      </c>
    </row>
    <row r="101" spans="1:87" x14ac:dyDescent="0.45">
      <c r="A101" t="s">
        <v>24</v>
      </c>
      <c r="B101" t="s">
        <v>0</v>
      </c>
      <c r="C101" t="s">
        <v>46</v>
      </c>
      <c r="D101" t="s">
        <v>68</v>
      </c>
      <c r="E101" t="s">
        <v>26</v>
      </c>
      <c r="F101">
        <v>64.587299999999999</v>
      </c>
      <c r="K101">
        <v>69.849299999999999</v>
      </c>
      <c r="P101">
        <v>69.019499999999994</v>
      </c>
      <c r="U101">
        <v>70.406599999999997</v>
      </c>
      <c r="Z101">
        <v>67.610200000000006</v>
      </c>
      <c r="AE101">
        <v>63.767000000000003</v>
      </c>
      <c r="AJ101">
        <v>60.033200000000001</v>
      </c>
      <c r="CI101" t="s">
        <v>68</v>
      </c>
    </row>
    <row r="102" spans="1:87" x14ac:dyDescent="0.45">
      <c r="A102" t="s">
        <v>24</v>
      </c>
      <c r="B102" t="s">
        <v>0</v>
      </c>
      <c r="C102" t="s">
        <v>46</v>
      </c>
      <c r="D102" t="s">
        <v>69</v>
      </c>
      <c r="E102" t="s">
        <v>26</v>
      </c>
      <c r="F102">
        <v>13.860099999999999</v>
      </c>
      <c r="K102">
        <v>14.719799999999999</v>
      </c>
      <c r="P102">
        <v>15.3696</v>
      </c>
      <c r="U102">
        <v>16.378599999999999</v>
      </c>
      <c r="Z102">
        <v>17.563500000000001</v>
      </c>
      <c r="AE102">
        <v>19.366599999999998</v>
      </c>
      <c r="AJ102">
        <v>21.8462</v>
      </c>
      <c r="CI102" t="s">
        <v>69</v>
      </c>
    </row>
    <row r="103" spans="1:87" x14ac:dyDescent="0.45">
      <c r="A103" t="s">
        <v>24</v>
      </c>
      <c r="B103" t="s">
        <v>0</v>
      </c>
      <c r="C103" t="s">
        <v>46</v>
      </c>
      <c r="D103" t="s">
        <v>70</v>
      </c>
      <c r="E103" t="s">
        <v>26</v>
      </c>
      <c r="F103">
        <v>12.737399999999999</v>
      </c>
      <c r="K103">
        <v>10.1496</v>
      </c>
      <c r="P103">
        <v>8.9182000000000006</v>
      </c>
      <c r="U103">
        <v>9.9270999999999994</v>
      </c>
      <c r="Z103">
        <v>10.3499</v>
      </c>
      <c r="AE103">
        <v>10.9628</v>
      </c>
      <c r="AJ103">
        <v>10.431800000000001</v>
      </c>
      <c r="CI103" t="s">
        <v>70</v>
      </c>
    </row>
    <row r="104" spans="1:87" x14ac:dyDescent="0.45">
      <c r="A104" t="s">
        <v>24</v>
      </c>
      <c r="B104" t="s">
        <v>0</v>
      </c>
      <c r="C104" t="s">
        <v>46</v>
      </c>
      <c r="D104" t="s">
        <v>71</v>
      </c>
      <c r="E104" t="s">
        <v>26</v>
      </c>
      <c r="F104">
        <v>0.36459999999999998</v>
      </c>
      <c r="K104">
        <v>0.34029999999999999</v>
      </c>
      <c r="P104">
        <v>0.2843</v>
      </c>
      <c r="U104">
        <v>0.41909999999999997</v>
      </c>
      <c r="Z104">
        <v>0.59450000000000003</v>
      </c>
      <c r="AE104">
        <v>0.8266</v>
      </c>
      <c r="AJ104">
        <v>1.115</v>
      </c>
      <c r="CI104" t="s">
        <v>71</v>
      </c>
    </row>
    <row r="105" spans="1:87" x14ac:dyDescent="0.45">
      <c r="A105" t="s">
        <v>24</v>
      </c>
      <c r="B105" t="s">
        <v>0</v>
      </c>
      <c r="C105" t="s">
        <v>46</v>
      </c>
      <c r="D105" t="s">
        <v>72</v>
      </c>
      <c r="E105" t="s">
        <v>26</v>
      </c>
      <c r="F105">
        <v>0</v>
      </c>
      <c r="K105">
        <v>7.5800000000000006E-2</v>
      </c>
      <c r="P105">
        <v>7.6200000000000004E-2</v>
      </c>
      <c r="U105">
        <v>0.18290000000000001</v>
      </c>
      <c r="Z105">
        <v>0.26740000000000003</v>
      </c>
      <c r="AE105">
        <v>0.26469999999999999</v>
      </c>
      <c r="AJ105">
        <v>0.26240000000000002</v>
      </c>
      <c r="CI105" t="s">
        <v>72</v>
      </c>
    </row>
    <row r="106" spans="1:87" x14ac:dyDescent="0.45">
      <c r="A106" t="s">
        <v>24</v>
      </c>
      <c r="B106" t="s">
        <v>0</v>
      </c>
      <c r="C106" t="s">
        <v>46</v>
      </c>
      <c r="D106" t="s">
        <v>73</v>
      </c>
      <c r="E106" t="s">
        <v>26</v>
      </c>
      <c r="F106">
        <v>14.774100000000001</v>
      </c>
      <c r="K106">
        <v>16.088799999999999</v>
      </c>
      <c r="P106">
        <v>17.712199999999999</v>
      </c>
      <c r="U106">
        <v>17.267499999999998</v>
      </c>
      <c r="Z106">
        <v>16.925000000000001</v>
      </c>
      <c r="AE106">
        <v>16.027799999999999</v>
      </c>
      <c r="AJ106">
        <v>15.159700000000001</v>
      </c>
      <c r="CI106" t="s">
        <v>73</v>
      </c>
    </row>
    <row r="107" spans="1:87" x14ac:dyDescent="0.45">
      <c r="A107" t="s">
        <v>24</v>
      </c>
      <c r="B107" t="s">
        <v>0</v>
      </c>
      <c r="C107" t="s">
        <v>46</v>
      </c>
      <c r="D107" t="s">
        <v>74</v>
      </c>
      <c r="E107" t="s">
        <v>26</v>
      </c>
      <c r="F107">
        <v>6.32</v>
      </c>
      <c r="K107">
        <v>4.7304000000000004</v>
      </c>
      <c r="P107">
        <v>4.1300999999999997</v>
      </c>
      <c r="U107">
        <v>5.2241999999999997</v>
      </c>
      <c r="Z107">
        <v>6.2432999999999996</v>
      </c>
      <c r="AE107">
        <v>6.5928000000000004</v>
      </c>
      <c r="AJ107">
        <v>6.4756999999999998</v>
      </c>
      <c r="CI107" t="s">
        <v>74</v>
      </c>
    </row>
    <row r="108" spans="1:87" x14ac:dyDescent="0.45">
      <c r="A108" t="s">
        <v>24</v>
      </c>
      <c r="B108" t="s">
        <v>0</v>
      </c>
      <c r="C108" t="s">
        <v>46</v>
      </c>
      <c r="D108" t="s">
        <v>75</v>
      </c>
      <c r="E108" t="s">
        <v>26</v>
      </c>
      <c r="F108">
        <v>0</v>
      </c>
      <c r="K108">
        <v>0.1024</v>
      </c>
      <c r="P108">
        <v>0.25369999999999998</v>
      </c>
      <c r="U108">
        <v>0.41909999999999997</v>
      </c>
      <c r="Z108">
        <v>0.59450000000000003</v>
      </c>
      <c r="AE108">
        <v>0.46489999999999998</v>
      </c>
      <c r="AJ108">
        <v>0.23230000000000001</v>
      </c>
      <c r="CI108" t="s">
        <v>75</v>
      </c>
    </row>
    <row r="109" spans="1:87" x14ac:dyDescent="0.45">
      <c r="A109" t="s">
        <v>24</v>
      </c>
      <c r="B109" t="s">
        <v>0</v>
      </c>
      <c r="C109" t="s">
        <v>46</v>
      </c>
      <c r="D109" t="s">
        <v>76</v>
      </c>
      <c r="E109" t="s">
        <v>26</v>
      </c>
      <c r="F109">
        <v>0</v>
      </c>
      <c r="K109">
        <v>7.5800000000000006E-2</v>
      </c>
      <c r="P109">
        <v>7.6200000000000004E-2</v>
      </c>
      <c r="U109">
        <v>0.18290000000000001</v>
      </c>
      <c r="Z109">
        <v>0.26740000000000003</v>
      </c>
      <c r="AE109">
        <v>0.26469999999999999</v>
      </c>
      <c r="AJ109">
        <v>0.26240000000000002</v>
      </c>
      <c r="CI109" t="s">
        <v>76</v>
      </c>
    </row>
    <row r="110" spans="1:87" x14ac:dyDescent="0.45">
      <c r="A110" t="s">
        <v>24</v>
      </c>
      <c r="B110" t="s">
        <v>0</v>
      </c>
      <c r="C110" t="s">
        <v>46</v>
      </c>
      <c r="D110" t="s">
        <v>77</v>
      </c>
      <c r="E110" t="s">
        <v>26</v>
      </c>
      <c r="F110">
        <v>4.8461999999999996</v>
      </c>
      <c r="K110">
        <v>7.2042999999999999</v>
      </c>
      <c r="P110">
        <v>9.0873000000000008</v>
      </c>
      <c r="U110">
        <v>8.7431000000000001</v>
      </c>
      <c r="Z110">
        <v>8.3877000000000006</v>
      </c>
      <c r="AE110">
        <v>7.0585000000000004</v>
      </c>
      <c r="AJ110">
        <v>6.1797000000000004</v>
      </c>
      <c r="CI110" t="s">
        <v>77</v>
      </c>
    </row>
    <row r="111" spans="1:87" x14ac:dyDescent="0.45">
      <c r="A111" t="s">
        <v>24</v>
      </c>
      <c r="B111" t="s">
        <v>0</v>
      </c>
      <c r="C111" t="s">
        <v>46</v>
      </c>
      <c r="D111" t="s">
        <v>78</v>
      </c>
      <c r="E111" t="s">
        <v>26</v>
      </c>
      <c r="F111">
        <v>0.44819999999999999</v>
      </c>
      <c r="K111">
        <v>0.66080000000000005</v>
      </c>
      <c r="P111">
        <v>1.0122</v>
      </c>
      <c r="U111">
        <v>0.8992</v>
      </c>
      <c r="Z111">
        <v>0.91080000000000005</v>
      </c>
      <c r="AE111">
        <v>0.74760000000000004</v>
      </c>
      <c r="AJ111">
        <v>0.74029999999999996</v>
      </c>
      <c r="CI111" t="s">
        <v>78</v>
      </c>
    </row>
    <row r="112" spans="1:87" x14ac:dyDescent="0.45">
      <c r="A112" t="s">
        <v>24</v>
      </c>
      <c r="B112" t="s">
        <v>0</v>
      </c>
      <c r="C112" t="s">
        <v>46</v>
      </c>
      <c r="D112" t="s">
        <v>79</v>
      </c>
      <c r="E112" t="s">
        <v>26</v>
      </c>
      <c r="F112">
        <v>4.4120999999999997</v>
      </c>
      <c r="K112">
        <v>6.5621999999999998</v>
      </c>
      <c r="P112">
        <v>8.0942000000000007</v>
      </c>
      <c r="U112">
        <v>7.8502000000000001</v>
      </c>
      <c r="Z112">
        <v>7.5004999999999997</v>
      </c>
      <c r="AE112">
        <v>6.3352000000000004</v>
      </c>
      <c r="AJ112">
        <v>5.4615999999999998</v>
      </c>
      <c r="CI112" t="s">
        <v>79</v>
      </c>
    </row>
    <row r="113" spans="1:87" x14ac:dyDescent="0.45">
      <c r="A113" t="s">
        <v>24</v>
      </c>
      <c r="B113" t="s">
        <v>0</v>
      </c>
      <c r="C113" t="s">
        <v>46</v>
      </c>
      <c r="D113" t="s">
        <v>80</v>
      </c>
      <c r="E113" t="s">
        <v>26</v>
      </c>
      <c r="F113">
        <v>1.0142</v>
      </c>
      <c r="K113">
        <v>1.0996999999999999</v>
      </c>
      <c r="P113">
        <v>1.2439</v>
      </c>
      <c r="U113">
        <v>0.8407</v>
      </c>
      <c r="Z113">
        <v>0.66269999999999996</v>
      </c>
      <c r="AE113">
        <v>0.48259999999999997</v>
      </c>
      <c r="AJ113">
        <v>0.62160000000000004</v>
      </c>
      <c r="CI113" t="s">
        <v>80</v>
      </c>
    </row>
    <row r="114" spans="1:87" x14ac:dyDescent="0.45">
      <c r="A114" t="s">
        <v>24</v>
      </c>
      <c r="B114" t="s">
        <v>0</v>
      </c>
      <c r="C114" t="s">
        <v>46</v>
      </c>
      <c r="D114" t="s">
        <v>81</v>
      </c>
      <c r="E114" t="s">
        <v>26</v>
      </c>
      <c r="F114">
        <v>0.2268</v>
      </c>
      <c r="K114">
        <v>0.22059999999999999</v>
      </c>
      <c r="P114">
        <v>0</v>
      </c>
      <c r="U114">
        <v>1.06E-2</v>
      </c>
      <c r="Z114">
        <v>0</v>
      </c>
      <c r="AE114">
        <v>0.1404</v>
      </c>
      <c r="AJ114">
        <v>0.36259999999999998</v>
      </c>
      <c r="CI114" t="s">
        <v>81</v>
      </c>
    </row>
    <row r="115" spans="1:87" x14ac:dyDescent="0.45">
      <c r="A115" t="s">
        <v>24</v>
      </c>
      <c r="B115" t="s">
        <v>0</v>
      </c>
      <c r="C115" t="s">
        <v>46</v>
      </c>
      <c r="D115" t="s">
        <v>82</v>
      </c>
      <c r="E115" t="s">
        <v>26</v>
      </c>
      <c r="F115">
        <v>0.80110000000000003</v>
      </c>
      <c r="K115">
        <v>0.89500000000000002</v>
      </c>
      <c r="P115">
        <v>1.2597</v>
      </c>
      <c r="U115">
        <v>0.84630000000000005</v>
      </c>
      <c r="Z115">
        <v>0.67869999999999997</v>
      </c>
      <c r="AE115">
        <v>0.35639999999999999</v>
      </c>
      <c r="AJ115">
        <v>0.27239999999999998</v>
      </c>
      <c r="CI115" t="s">
        <v>82</v>
      </c>
    </row>
    <row r="116" spans="1:87" x14ac:dyDescent="0.45">
      <c r="A116" t="s">
        <v>24</v>
      </c>
      <c r="B116" t="s">
        <v>0</v>
      </c>
      <c r="C116" t="s">
        <v>46</v>
      </c>
      <c r="D116" t="s">
        <v>83</v>
      </c>
      <c r="E116" t="s">
        <v>26</v>
      </c>
      <c r="F116">
        <v>33.263800000000003</v>
      </c>
      <c r="K116">
        <v>39.081600000000002</v>
      </c>
      <c r="P116">
        <v>38.346499999999999</v>
      </c>
      <c r="U116">
        <v>38.168900000000001</v>
      </c>
      <c r="Z116">
        <v>33.852600000000002</v>
      </c>
      <c r="AE116">
        <v>27.5642</v>
      </c>
      <c r="AJ116">
        <v>21.384499999999999</v>
      </c>
      <c r="CI116" t="s">
        <v>83</v>
      </c>
    </row>
    <row r="117" spans="1:87" x14ac:dyDescent="0.45">
      <c r="A117" t="s">
        <v>24</v>
      </c>
      <c r="B117" t="s">
        <v>0</v>
      </c>
      <c r="C117" t="s">
        <v>46</v>
      </c>
      <c r="D117" t="s">
        <v>84</v>
      </c>
      <c r="E117" t="s">
        <v>26</v>
      </c>
      <c r="F117">
        <v>22.084499999999998</v>
      </c>
      <c r="K117">
        <v>23.860499999999998</v>
      </c>
      <c r="P117">
        <v>24.779900000000001</v>
      </c>
      <c r="U117">
        <v>24.330400000000001</v>
      </c>
      <c r="Z117">
        <v>23.657399999999999</v>
      </c>
      <c r="AE117">
        <v>23.0456</v>
      </c>
      <c r="AJ117">
        <v>23.017700000000001</v>
      </c>
      <c r="CI117" t="s">
        <v>84</v>
      </c>
    </row>
    <row r="118" spans="1:87" x14ac:dyDescent="0.45">
      <c r="A118" t="s">
        <v>24</v>
      </c>
      <c r="B118" t="s">
        <v>0</v>
      </c>
      <c r="C118" t="s">
        <v>46</v>
      </c>
      <c r="D118" t="s">
        <v>85</v>
      </c>
      <c r="E118" t="s">
        <v>26</v>
      </c>
      <c r="F118">
        <v>6.4173999999999998</v>
      </c>
      <c r="K118">
        <v>5.4192</v>
      </c>
      <c r="P118">
        <v>4.7881</v>
      </c>
      <c r="U118">
        <v>4.7027999999999999</v>
      </c>
      <c r="Z118">
        <v>4.1066000000000003</v>
      </c>
      <c r="AE118">
        <v>3.6143000000000001</v>
      </c>
      <c r="AJ118">
        <v>2.3969999999999998</v>
      </c>
      <c r="CI118" t="s">
        <v>85</v>
      </c>
    </row>
    <row r="119" spans="1:87" x14ac:dyDescent="0.45">
      <c r="A119" t="s">
        <v>24</v>
      </c>
      <c r="B119" t="s">
        <v>0</v>
      </c>
      <c r="C119" t="s">
        <v>46</v>
      </c>
      <c r="D119" t="s">
        <v>86</v>
      </c>
      <c r="E119" t="s">
        <v>26</v>
      </c>
      <c r="F119">
        <v>0.36459999999999998</v>
      </c>
      <c r="K119">
        <v>0.2379</v>
      </c>
      <c r="P119">
        <v>3.0599999999999999E-2</v>
      </c>
      <c r="U119">
        <v>0</v>
      </c>
      <c r="Z119">
        <v>0</v>
      </c>
      <c r="AE119">
        <v>0.36170000000000002</v>
      </c>
      <c r="AJ119">
        <v>0.88270000000000004</v>
      </c>
      <c r="CI119" t="s">
        <v>86</v>
      </c>
    </row>
    <row r="120" spans="1:87" x14ac:dyDescent="0.45">
      <c r="A120" t="s">
        <v>24</v>
      </c>
      <c r="B120" t="s">
        <v>0</v>
      </c>
      <c r="C120" t="s">
        <v>46</v>
      </c>
      <c r="D120" t="s">
        <v>87</v>
      </c>
      <c r="E120" t="s">
        <v>26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87</v>
      </c>
    </row>
    <row r="121" spans="1:87" x14ac:dyDescent="0.45">
      <c r="A121" t="s">
        <v>24</v>
      </c>
      <c r="B121" t="s">
        <v>0</v>
      </c>
      <c r="C121" t="s">
        <v>46</v>
      </c>
      <c r="D121" t="s">
        <v>88</v>
      </c>
      <c r="E121" t="s">
        <v>26</v>
      </c>
      <c r="F121">
        <v>3.0583</v>
      </c>
      <c r="K121">
        <v>4.7457000000000003</v>
      </c>
      <c r="P121">
        <v>5.3476999999999997</v>
      </c>
      <c r="U121">
        <v>3.5672000000000001</v>
      </c>
      <c r="Z121">
        <v>2.1482000000000001</v>
      </c>
      <c r="AE121">
        <v>1.0952999999999999</v>
      </c>
      <c r="AJ121">
        <v>1.0538000000000001</v>
      </c>
      <c r="CI121" t="s">
        <v>88</v>
      </c>
    </row>
    <row r="122" spans="1:87" x14ac:dyDescent="0.45">
      <c r="A122" t="s">
        <v>24</v>
      </c>
      <c r="B122" t="s">
        <v>0</v>
      </c>
      <c r="C122" t="s">
        <v>46</v>
      </c>
      <c r="D122" t="s">
        <v>89</v>
      </c>
      <c r="E122" t="s">
        <v>26</v>
      </c>
      <c r="F122">
        <v>1.4200000000000001E-2</v>
      </c>
      <c r="K122">
        <v>0.31219999999999998</v>
      </c>
      <c r="P122">
        <v>5.7099999999999998E-2</v>
      </c>
      <c r="U122">
        <v>4.6100000000000002E-2</v>
      </c>
      <c r="Z122">
        <v>3.5099999999999999E-2</v>
      </c>
      <c r="AE122">
        <v>2.0799999999999999E-2</v>
      </c>
      <c r="AJ122">
        <v>2.5700000000000001E-2</v>
      </c>
      <c r="CI122" t="s">
        <v>89</v>
      </c>
    </row>
    <row r="123" spans="1:87" x14ac:dyDescent="0.45">
      <c r="A123" t="s">
        <v>24</v>
      </c>
      <c r="B123" t="s">
        <v>0</v>
      </c>
      <c r="C123" t="s">
        <v>46</v>
      </c>
      <c r="D123" t="s">
        <v>90</v>
      </c>
      <c r="E123" t="s">
        <v>26</v>
      </c>
      <c r="F123">
        <v>3.1442999999999999</v>
      </c>
      <c r="K123">
        <v>4.5434000000000001</v>
      </c>
      <c r="P123">
        <v>5.3880999999999997</v>
      </c>
      <c r="U123">
        <v>3.5632000000000001</v>
      </c>
      <c r="Z123">
        <v>2.1362999999999999</v>
      </c>
      <c r="AE123">
        <v>1.0911</v>
      </c>
      <c r="AJ123">
        <v>1.0403</v>
      </c>
      <c r="CI123" t="s">
        <v>90</v>
      </c>
    </row>
    <row r="124" spans="1:87" x14ac:dyDescent="0.45">
      <c r="A124" t="s">
        <v>24</v>
      </c>
      <c r="B124" t="s">
        <v>0</v>
      </c>
      <c r="C124" t="s">
        <v>46</v>
      </c>
      <c r="D124" t="s">
        <v>91</v>
      </c>
      <c r="E124" t="s">
        <v>26</v>
      </c>
      <c r="F124">
        <v>0</v>
      </c>
      <c r="K124">
        <v>0</v>
      </c>
      <c r="P124">
        <v>0</v>
      </c>
      <c r="U124">
        <v>0</v>
      </c>
      <c r="Z124">
        <v>0</v>
      </c>
      <c r="AE124">
        <v>0</v>
      </c>
      <c r="AJ124">
        <v>0</v>
      </c>
      <c r="CI124" t="s">
        <v>91</v>
      </c>
    </row>
    <row r="125" spans="1:87" x14ac:dyDescent="0.45">
      <c r="A125" t="s">
        <v>24</v>
      </c>
      <c r="B125" t="s">
        <v>0</v>
      </c>
      <c r="C125" t="s">
        <v>46</v>
      </c>
      <c r="D125" t="s">
        <v>92</v>
      </c>
      <c r="E125" t="s">
        <v>26</v>
      </c>
      <c r="F125">
        <v>0</v>
      </c>
      <c r="K125">
        <v>0</v>
      </c>
      <c r="P125">
        <v>0</v>
      </c>
      <c r="U125">
        <v>0</v>
      </c>
      <c r="Z125">
        <v>0</v>
      </c>
      <c r="AE125">
        <v>0</v>
      </c>
      <c r="AJ125">
        <v>0</v>
      </c>
      <c r="CI125" t="s">
        <v>92</v>
      </c>
    </row>
    <row r="126" spans="1:87" x14ac:dyDescent="0.45">
      <c r="A126" t="s">
        <v>24</v>
      </c>
      <c r="B126" t="s">
        <v>0</v>
      </c>
      <c r="C126" t="s">
        <v>46</v>
      </c>
      <c r="D126" t="s">
        <v>93</v>
      </c>
      <c r="E126" t="s">
        <v>26</v>
      </c>
      <c r="F126">
        <v>0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93</v>
      </c>
    </row>
    <row r="127" spans="1:87" x14ac:dyDescent="0.45">
      <c r="A127" t="s">
        <v>24</v>
      </c>
      <c r="B127" t="s">
        <v>0</v>
      </c>
      <c r="C127" t="s">
        <v>46</v>
      </c>
      <c r="D127" t="s">
        <v>94</v>
      </c>
      <c r="E127" t="s">
        <v>26</v>
      </c>
      <c r="F127">
        <v>1.0142</v>
      </c>
      <c r="K127">
        <v>1.0996999999999999</v>
      </c>
      <c r="P127">
        <v>1.2439</v>
      </c>
      <c r="U127">
        <v>0.8407</v>
      </c>
      <c r="Z127">
        <v>0.66269999999999996</v>
      </c>
      <c r="AE127">
        <v>0.48259999999999997</v>
      </c>
      <c r="AJ127">
        <v>0.62160000000000004</v>
      </c>
      <c r="CI127" t="s">
        <v>94</v>
      </c>
    </row>
    <row r="128" spans="1:87" x14ac:dyDescent="0.45">
      <c r="A128" t="s">
        <v>24</v>
      </c>
      <c r="B128" t="s">
        <v>0</v>
      </c>
      <c r="C128" t="s">
        <v>46</v>
      </c>
      <c r="D128" t="s">
        <v>95</v>
      </c>
      <c r="E128" t="s">
        <v>26</v>
      </c>
      <c r="F128">
        <v>25.2941</v>
      </c>
      <c r="K128">
        <v>27.016300000000001</v>
      </c>
      <c r="P128">
        <v>23.817699999999999</v>
      </c>
      <c r="U128">
        <v>25.941299999999998</v>
      </c>
      <c r="Z128">
        <v>23.871300000000002</v>
      </c>
      <c r="AE128">
        <v>21.5687</v>
      </c>
      <c r="AJ128">
        <v>18.5869</v>
      </c>
      <c r="CI128" t="s">
        <v>95</v>
      </c>
    </row>
    <row r="129" spans="1:87" x14ac:dyDescent="0.45">
      <c r="A129" t="s">
        <v>24</v>
      </c>
      <c r="B129" t="s">
        <v>0</v>
      </c>
      <c r="C129" t="s">
        <v>46</v>
      </c>
      <c r="D129" t="s">
        <v>96</v>
      </c>
      <c r="E129" t="s">
        <v>26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0.75570000000000004</v>
      </c>
      <c r="AJ129">
        <v>1.5591999999999999</v>
      </c>
      <c r="CI129" t="s">
        <v>96</v>
      </c>
    </row>
    <row r="130" spans="1:87" x14ac:dyDescent="0.45">
      <c r="A130" t="s">
        <v>24</v>
      </c>
      <c r="B130" t="s">
        <v>0</v>
      </c>
      <c r="C130" t="s">
        <v>46</v>
      </c>
      <c r="D130" t="s">
        <v>97</v>
      </c>
      <c r="E130" t="s">
        <v>26</v>
      </c>
      <c r="F130">
        <v>25.359200000000001</v>
      </c>
      <c r="K130">
        <v>27.131599999999999</v>
      </c>
      <c r="P130">
        <v>23.9115</v>
      </c>
      <c r="U130">
        <v>25.858599999999999</v>
      </c>
      <c r="Z130">
        <v>23.316600000000001</v>
      </c>
      <c r="AE130">
        <v>19.410399999999999</v>
      </c>
      <c r="AJ130">
        <v>14.151</v>
      </c>
      <c r="CI130" t="s">
        <v>97</v>
      </c>
    </row>
    <row r="131" spans="1:87" x14ac:dyDescent="0.45">
      <c r="A131" t="s">
        <v>24</v>
      </c>
      <c r="B131" t="s">
        <v>0</v>
      </c>
      <c r="C131" t="s">
        <v>46</v>
      </c>
      <c r="D131" t="s">
        <v>98</v>
      </c>
      <c r="E131" t="s">
        <v>26</v>
      </c>
      <c r="F131">
        <v>23.149899999999999</v>
      </c>
      <c r="K131">
        <v>24.746300000000002</v>
      </c>
      <c r="P131">
        <v>21.618400000000001</v>
      </c>
      <c r="U131">
        <v>22.250699999999998</v>
      </c>
      <c r="Z131">
        <v>20.3293</v>
      </c>
      <c r="AE131">
        <v>17.392499999999998</v>
      </c>
      <c r="AJ131">
        <v>13.0672</v>
      </c>
      <c r="CI131" t="s">
        <v>98</v>
      </c>
    </row>
    <row r="132" spans="1:87" x14ac:dyDescent="0.45">
      <c r="A132" t="s">
        <v>24</v>
      </c>
      <c r="B132" t="s">
        <v>0</v>
      </c>
      <c r="C132" t="s">
        <v>46</v>
      </c>
      <c r="D132" t="s">
        <v>99</v>
      </c>
      <c r="E132" t="s">
        <v>100</v>
      </c>
      <c r="F132">
        <v>17759.189699999999</v>
      </c>
      <c r="K132">
        <v>21028.338899999999</v>
      </c>
      <c r="P132">
        <v>22997.961500000001</v>
      </c>
      <c r="U132">
        <v>24780.872299999999</v>
      </c>
      <c r="Z132">
        <v>26426.736799999999</v>
      </c>
      <c r="AE132">
        <v>27982.406599999998</v>
      </c>
      <c r="AJ132">
        <v>29426.882900000001</v>
      </c>
      <c r="CI132" t="s">
        <v>99</v>
      </c>
    </row>
    <row r="133" spans="1:87" x14ac:dyDescent="0.45">
      <c r="A133" t="s">
        <v>24</v>
      </c>
      <c r="B133" t="s">
        <v>0</v>
      </c>
      <c r="C133" t="s">
        <v>46</v>
      </c>
      <c r="D133" t="s">
        <v>101</v>
      </c>
      <c r="E133" t="s">
        <v>102</v>
      </c>
      <c r="F133">
        <v>335.11259999999999</v>
      </c>
      <c r="K133">
        <v>347.33879999999999</v>
      </c>
      <c r="P133">
        <v>360.10340000000002</v>
      </c>
      <c r="U133">
        <v>371.43430000000001</v>
      </c>
      <c r="Z133">
        <v>382.77010000000001</v>
      </c>
      <c r="AE133">
        <v>392.61290000000002</v>
      </c>
      <c r="AJ133">
        <v>402.44220000000001</v>
      </c>
      <c r="CI133" t="s">
        <v>101</v>
      </c>
    </row>
    <row r="134" spans="1:87" x14ac:dyDescent="0.45">
      <c r="A134" t="s">
        <v>24</v>
      </c>
      <c r="B134" t="s">
        <v>0</v>
      </c>
      <c r="C134" t="s">
        <v>46</v>
      </c>
      <c r="D134" t="s">
        <v>103</v>
      </c>
      <c r="E134" t="s">
        <v>104</v>
      </c>
      <c r="F134">
        <v>0.99990000000000001</v>
      </c>
      <c r="K134">
        <v>0.92910000000000004</v>
      </c>
      <c r="P134">
        <v>0.85780000000000001</v>
      </c>
      <c r="U134">
        <v>0.86119999999999997</v>
      </c>
      <c r="Z134">
        <v>0.86950000000000005</v>
      </c>
      <c r="AE134">
        <v>0.88319999999999999</v>
      </c>
      <c r="AJ134">
        <v>0.89849999999999997</v>
      </c>
      <c r="CI134" t="s">
        <v>103</v>
      </c>
    </row>
    <row r="135" spans="1:87" x14ac:dyDescent="0.45">
      <c r="A135" t="s">
        <v>24</v>
      </c>
      <c r="B135" t="s">
        <v>0</v>
      </c>
      <c r="C135" t="s">
        <v>46</v>
      </c>
      <c r="D135" t="s">
        <v>105</v>
      </c>
      <c r="E135" t="s">
        <v>104</v>
      </c>
      <c r="F135">
        <v>1.0125</v>
      </c>
      <c r="K135">
        <v>0.94010000000000005</v>
      </c>
      <c r="P135">
        <v>0.86709999999999998</v>
      </c>
      <c r="U135">
        <v>0.83379999999999999</v>
      </c>
      <c r="Z135">
        <v>0.80469999999999997</v>
      </c>
      <c r="AE135">
        <v>0.80469999999999997</v>
      </c>
      <c r="AJ135">
        <v>0.80469999999999997</v>
      </c>
      <c r="CI135" t="s">
        <v>105</v>
      </c>
    </row>
    <row r="136" spans="1:87" x14ac:dyDescent="0.45">
      <c r="A136" t="s">
        <v>24</v>
      </c>
      <c r="B136" t="s">
        <v>0</v>
      </c>
      <c r="C136" t="s">
        <v>46</v>
      </c>
      <c r="D136" t="s">
        <v>106</v>
      </c>
      <c r="E136" t="s">
        <v>107</v>
      </c>
      <c r="F136">
        <v>0</v>
      </c>
      <c r="K136">
        <v>6.6807999999999996</v>
      </c>
      <c r="P136">
        <v>0</v>
      </c>
      <c r="U136">
        <v>73.575900000000004</v>
      </c>
      <c r="Z136">
        <v>98.725499999999997</v>
      </c>
      <c r="AE136">
        <v>121.2569</v>
      </c>
      <c r="AJ136">
        <v>153.30070000000001</v>
      </c>
      <c r="CI136" t="s">
        <v>106</v>
      </c>
    </row>
    <row r="137" spans="1:87" x14ac:dyDescent="0.45">
      <c r="A137" t="s">
        <v>24</v>
      </c>
      <c r="B137" t="s">
        <v>0</v>
      </c>
      <c r="C137" t="s">
        <v>46</v>
      </c>
      <c r="D137" t="s">
        <v>108</v>
      </c>
      <c r="E137" t="s">
        <v>31</v>
      </c>
      <c r="F137">
        <v>6.4366000000000003</v>
      </c>
      <c r="K137">
        <v>7.2807000000000004</v>
      </c>
      <c r="P137">
        <v>7.7172999999999998</v>
      </c>
      <c r="U137">
        <v>16.606000000000002</v>
      </c>
      <c r="Z137">
        <v>15.5251</v>
      </c>
      <c r="AE137">
        <v>16.707599999999999</v>
      </c>
      <c r="AJ137">
        <v>22.819299999999998</v>
      </c>
      <c r="CI137" t="s">
        <v>108</v>
      </c>
    </row>
    <row r="138" spans="1:87" x14ac:dyDescent="0.45">
      <c r="A138" t="s">
        <v>24</v>
      </c>
      <c r="B138" t="s">
        <v>0</v>
      </c>
      <c r="C138" t="s">
        <v>46</v>
      </c>
      <c r="D138" t="s">
        <v>109</v>
      </c>
      <c r="E138" t="s">
        <v>31</v>
      </c>
      <c r="F138">
        <v>13.0496</v>
      </c>
      <c r="K138">
        <v>9.4708000000000006</v>
      </c>
      <c r="P138">
        <v>7.5671999999999997</v>
      </c>
      <c r="U138">
        <v>14.7812</v>
      </c>
      <c r="Z138">
        <v>14.8756</v>
      </c>
      <c r="AE138">
        <v>11.8514</v>
      </c>
      <c r="AJ138">
        <v>14.2704</v>
      </c>
      <c r="CI138" t="s">
        <v>109</v>
      </c>
    </row>
    <row r="139" spans="1:87" x14ac:dyDescent="0.45">
      <c r="A139" t="s">
        <v>24</v>
      </c>
      <c r="B139" t="s">
        <v>0</v>
      </c>
      <c r="C139" t="s">
        <v>46</v>
      </c>
      <c r="D139" t="s">
        <v>110</v>
      </c>
      <c r="E139" t="s">
        <v>31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110</v>
      </c>
    </row>
    <row r="140" spans="1:87" x14ac:dyDescent="0.45">
      <c r="A140" t="s">
        <v>24</v>
      </c>
      <c r="B140" t="s">
        <v>0</v>
      </c>
      <c r="C140" t="s">
        <v>46</v>
      </c>
      <c r="D140" t="s">
        <v>111</v>
      </c>
      <c r="E140" t="s">
        <v>31</v>
      </c>
      <c r="F140">
        <v>49.3825</v>
      </c>
      <c r="K140">
        <v>5.5709</v>
      </c>
      <c r="P140">
        <v>33.339799999999997</v>
      </c>
      <c r="U140">
        <v>27.471599999999999</v>
      </c>
      <c r="Z140">
        <v>27.409500000000001</v>
      </c>
      <c r="AE140">
        <v>43.211100000000002</v>
      </c>
      <c r="AJ140">
        <v>32.372300000000003</v>
      </c>
      <c r="CI140" t="s">
        <v>111</v>
      </c>
    </row>
    <row r="141" spans="1:87" x14ac:dyDescent="0.45">
      <c r="A141" t="s">
        <v>24</v>
      </c>
      <c r="B141" t="s">
        <v>0</v>
      </c>
      <c r="C141" t="s">
        <v>46</v>
      </c>
      <c r="D141" t="s">
        <v>112</v>
      </c>
      <c r="E141" t="s">
        <v>26</v>
      </c>
      <c r="F141">
        <v>81.602900000000005</v>
      </c>
      <c r="K141">
        <v>86.763999999999996</v>
      </c>
      <c r="P141">
        <v>85.326499999999996</v>
      </c>
      <c r="U141">
        <v>79.950500000000005</v>
      </c>
      <c r="Z141">
        <v>76.761899999999997</v>
      </c>
      <c r="AE141">
        <v>73.0916</v>
      </c>
      <c r="AJ141">
        <v>68.391499999999994</v>
      </c>
      <c r="CI141" t="s">
        <v>112</v>
      </c>
    </row>
    <row r="142" spans="1:87" x14ac:dyDescent="0.45">
      <c r="A142" t="s">
        <v>24</v>
      </c>
      <c r="B142" t="s">
        <v>0</v>
      </c>
      <c r="C142" t="s">
        <v>46</v>
      </c>
      <c r="D142" t="s">
        <v>113</v>
      </c>
      <c r="E142" t="s">
        <v>26</v>
      </c>
      <c r="F142">
        <v>6.8281000000000001</v>
      </c>
      <c r="K142">
        <v>6.8520000000000003</v>
      </c>
      <c r="P142">
        <v>8.0508000000000006</v>
      </c>
      <c r="U142">
        <v>6.6950000000000003</v>
      </c>
      <c r="Z142">
        <v>6.4038000000000004</v>
      </c>
      <c r="AE142">
        <v>5.7367999999999997</v>
      </c>
      <c r="AJ142">
        <v>5.4665999999999997</v>
      </c>
      <c r="CI142" t="s">
        <v>113</v>
      </c>
    </row>
    <row r="143" spans="1:87" x14ac:dyDescent="0.45">
      <c r="A143" t="s">
        <v>24</v>
      </c>
      <c r="B143" t="s">
        <v>0</v>
      </c>
      <c r="C143" t="s">
        <v>46</v>
      </c>
      <c r="D143" t="s">
        <v>114</v>
      </c>
      <c r="E143" t="s">
        <v>26</v>
      </c>
      <c r="F143">
        <v>13.495200000000001</v>
      </c>
      <c r="K143">
        <v>14.231</v>
      </c>
      <c r="P143">
        <v>13.4741</v>
      </c>
      <c r="U143">
        <v>2.1705000000000001</v>
      </c>
      <c r="Z143">
        <v>1.1202000000000001</v>
      </c>
      <c r="AE143">
        <v>0.71460000000000001</v>
      </c>
      <c r="AJ143">
        <v>0.63260000000000005</v>
      </c>
      <c r="CI143" t="s">
        <v>114</v>
      </c>
    </row>
    <row r="144" spans="1:87" x14ac:dyDescent="0.45">
      <c r="A144" t="s">
        <v>24</v>
      </c>
      <c r="B144" t="s">
        <v>0</v>
      </c>
      <c r="C144" t="s">
        <v>46</v>
      </c>
      <c r="D144" t="s">
        <v>115</v>
      </c>
      <c r="E144" t="s">
        <v>26</v>
      </c>
      <c r="F144">
        <v>0</v>
      </c>
      <c r="K144">
        <v>0</v>
      </c>
      <c r="P144">
        <v>0</v>
      </c>
      <c r="U144">
        <v>0.14299999999999999</v>
      </c>
      <c r="Z144">
        <v>0.29320000000000002</v>
      </c>
      <c r="AE144">
        <v>0.32950000000000002</v>
      </c>
      <c r="AJ144">
        <v>0.33889999999999998</v>
      </c>
      <c r="CI144" t="s">
        <v>115</v>
      </c>
    </row>
    <row r="145" spans="1:87" x14ac:dyDescent="0.45">
      <c r="A145" t="s">
        <v>24</v>
      </c>
      <c r="B145" t="s">
        <v>0</v>
      </c>
      <c r="C145" t="s">
        <v>46</v>
      </c>
      <c r="D145" t="s">
        <v>116</v>
      </c>
      <c r="E145" t="s">
        <v>26</v>
      </c>
      <c r="F145">
        <v>13.495200000000001</v>
      </c>
      <c r="K145">
        <v>14.231</v>
      </c>
      <c r="P145">
        <v>13.4741</v>
      </c>
      <c r="U145">
        <v>2.0274999999999999</v>
      </c>
      <c r="Z145">
        <v>0.82699999999999996</v>
      </c>
      <c r="AE145">
        <v>0.3851</v>
      </c>
      <c r="AJ145">
        <v>0.29370000000000002</v>
      </c>
      <c r="CI145" t="s">
        <v>116</v>
      </c>
    </row>
    <row r="146" spans="1:87" x14ac:dyDescent="0.45">
      <c r="A146" t="s">
        <v>24</v>
      </c>
      <c r="B146" t="s">
        <v>0</v>
      </c>
      <c r="C146" t="s">
        <v>46</v>
      </c>
      <c r="D146" t="s">
        <v>117</v>
      </c>
      <c r="E146" t="s">
        <v>26</v>
      </c>
      <c r="F146">
        <v>68.173699999999997</v>
      </c>
      <c r="K146">
        <v>72.905900000000003</v>
      </c>
      <c r="P146">
        <v>69.995800000000003</v>
      </c>
      <c r="U146">
        <v>61.070399999999999</v>
      </c>
      <c r="Z146">
        <v>56.116999999999997</v>
      </c>
      <c r="AE146">
        <v>50.053199999999997</v>
      </c>
      <c r="AJ146">
        <v>41.6496</v>
      </c>
      <c r="CI146" t="s">
        <v>117</v>
      </c>
    </row>
    <row r="147" spans="1:87" x14ac:dyDescent="0.45">
      <c r="A147" t="s">
        <v>24</v>
      </c>
      <c r="B147" t="s">
        <v>0</v>
      </c>
      <c r="C147" t="s">
        <v>46</v>
      </c>
      <c r="D147" t="s">
        <v>118</v>
      </c>
      <c r="E147" t="s">
        <v>26</v>
      </c>
      <c r="F147">
        <v>0</v>
      </c>
      <c r="K147">
        <v>0</v>
      </c>
      <c r="P147">
        <v>0</v>
      </c>
      <c r="U147">
        <v>0.59260000000000002</v>
      </c>
      <c r="Z147">
        <v>1.4590000000000001</v>
      </c>
      <c r="AE147">
        <v>2.6356999999999999</v>
      </c>
      <c r="AJ147">
        <v>4.4593999999999996</v>
      </c>
      <c r="CI147" t="s">
        <v>118</v>
      </c>
    </row>
    <row r="148" spans="1:87" x14ac:dyDescent="0.45">
      <c r="A148" t="s">
        <v>24</v>
      </c>
      <c r="B148" t="s">
        <v>0</v>
      </c>
      <c r="C148" t="s">
        <v>46</v>
      </c>
      <c r="D148" t="s">
        <v>119</v>
      </c>
      <c r="E148" t="s">
        <v>26</v>
      </c>
      <c r="F148">
        <v>68.173699999999997</v>
      </c>
      <c r="K148">
        <v>72.905900000000003</v>
      </c>
      <c r="P148">
        <v>69.995800000000003</v>
      </c>
      <c r="U148">
        <v>60.465200000000003</v>
      </c>
      <c r="Z148">
        <v>54.6374</v>
      </c>
      <c r="AE148">
        <v>47.398600000000002</v>
      </c>
      <c r="AJ148">
        <v>37.190199999999997</v>
      </c>
      <c r="CI148" t="s">
        <v>119</v>
      </c>
    </row>
    <row r="149" spans="1:87" x14ac:dyDescent="0.45">
      <c r="A149" t="s">
        <v>24</v>
      </c>
      <c r="B149" t="s">
        <v>0</v>
      </c>
      <c r="C149" t="s">
        <v>46</v>
      </c>
      <c r="D149" t="s">
        <v>120</v>
      </c>
      <c r="E149" t="s">
        <v>26</v>
      </c>
      <c r="F149">
        <v>23.37</v>
      </c>
      <c r="K149">
        <v>21.227399999999999</v>
      </c>
      <c r="P149">
        <v>22.335799999999999</v>
      </c>
      <c r="U149">
        <v>26.374400000000001</v>
      </c>
      <c r="Z149">
        <v>27.354199999999999</v>
      </c>
      <c r="AE149">
        <v>26.733799999999999</v>
      </c>
      <c r="AJ149">
        <v>23.577400000000001</v>
      </c>
      <c r="CI149" t="s">
        <v>120</v>
      </c>
    </row>
    <row r="150" spans="1:87" x14ac:dyDescent="0.45">
      <c r="A150" t="s">
        <v>24</v>
      </c>
      <c r="B150" t="s">
        <v>0</v>
      </c>
      <c r="C150" t="s">
        <v>46</v>
      </c>
      <c r="D150" t="s">
        <v>121</v>
      </c>
      <c r="E150" t="s">
        <v>26</v>
      </c>
      <c r="F150">
        <v>0</v>
      </c>
      <c r="K150">
        <v>0</v>
      </c>
      <c r="P150">
        <v>0</v>
      </c>
      <c r="U150">
        <v>0.4496</v>
      </c>
      <c r="Z150">
        <v>1.1657</v>
      </c>
      <c r="AE150">
        <v>2.3062</v>
      </c>
      <c r="AJ150">
        <v>4.1204999999999998</v>
      </c>
      <c r="CI150" t="s">
        <v>121</v>
      </c>
    </row>
    <row r="151" spans="1:87" x14ac:dyDescent="0.45">
      <c r="A151" t="s">
        <v>24</v>
      </c>
      <c r="B151" t="s">
        <v>0</v>
      </c>
      <c r="C151" t="s">
        <v>46</v>
      </c>
      <c r="D151" t="s">
        <v>122</v>
      </c>
      <c r="E151" t="s">
        <v>26</v>
      </c>
      <c r="F151">
        <v>23.37</v>
      </c>
      <c r="K151">
        <v>21.227399999999999</v>
      </c>
      <c r="P151">
        <v>22.335799999999999</v>
      </c>
      <c r="U151">
        <v>25.924800000000001</v>
      </c>
      <c r="Z151">
        <v>26.188400000000001</v>
      </c>
      <c r="AE151">
        <v>24.427600000000002</v>
      </c>
      <c r="AJ151">
        <v>19.456900000000001</v>
      </c>
      <c r="CI151" t="s">
        <v>122</v>
      </c>
    </row>
    <row r="152" spans="1:87" x14ac:dyDescent="0.45">
      <c r="A152" t="s">
        <v>24</v>
      </c>
      <c r="B152" t="s">
        <v>0</v>
      </c>
      <c r="C152" t="s">
        <v>46</v>
      </c>
      <c r="D152" t="s">
        <v>123</v>
      </c>
      <c r="E152" t="s">
        <v>26</v>
      </c>
      <c r="F152">
        <v>8.9599999999999999E-2</v>
      </c>
      <c r="K152">
        <v>7.0599999999999996E-2</v>
      </c>
      <c r="P152">
        <v>5.5599999999999997E-2</v>
      </c>
      <c r="U152">
        <v>0.15659999999999999</v>
      </c>
      <c r="Z152">
        <v>0.29730000000000001</v>
      </c>
      <c r="AE152">
        <v>0.49390000000000001</v>
      </c>
      <c r="AJ152">
        <v>0.77039999999999997</v>
      </c>
      <c r="CI152" t="s">
        <v>123</v>
      </c>
    </row>
    <row r="153" spans="1:87" x14ac:dyDescent="0.45">
      <c r="A153" t="s">
        <v>24</v>
      </c>
      <c r="B153" t="s">
        <v>0</v>
      </c>
      <c r="C153" t="s">
        <v>46</v>
      </c>
      <c r="D153" t="s">
        <v>124</v>
      </c>
      <c r="E153" t="s">
        <v>26</v>
      </c>
      <c r="F153">
        <v>1.1474</v>
      </c>
      <c r="K153">
        <v>1.1391</v>
      </c>
      <c r="P153">
        <v>1.1309</v>
      </c>
      <c r="U153">
        <v>1.2712000000000001</v>
      </c>
      <c r="Z153">
        <v>1.1702999999999999</v>
      </c>
      <c r="AE153">
        <v>1.1597</v>
      </c>
      <c r="AJ153">
        <v>1.2357</v>
      </c>
      <c r="CI153" t="s">
        <v>124</v>
      </c>
    </row>
    <row r="154" spans="1:87" x14ac:dyDescent="0.45">
      <c r="A154" t="s">
        <v>24</v>
      </c>
      <c r="B154" t="s">
        <v>0</v>
      </c>
      <c r="C154" t="s">
        <v>46</v>
      </c>
      <c r="D154" t="s">
        <v>125</v>
      </c>
      <c r="E154" t="s">
        <v>26</v>
      </c>
      <c r="F154">
        <v>3.0266000000000002</v>
      </c>
      <c r="K154">
        <v>3.0097</v>
      </c>
      <c r="P154">
        <v>2.8719000000000001</v>
      </c>
      <c r="U154">
        <v>2.5449000000000002</v>
      </c>
      <c r="Z154">
        <v>2.5703999999999998</v>
      </c>
      <c r="AE154">
        <v>2.4864000000000002</v>
      </c>
      <c r="AJ154">
        <v>2.5135000000000001</v>
      </c>
      <c r="CI154" t="s">
        <v>125</v>
      </c>
    </row>
    <row r="155" spans="1:87" x14ac:dyDescent="0.45">
      <c r="A155" t="s">
        <v>24</v>
      </c>
      <c r="B155" t="s">
        <v>0</v>
      </c>
      <c r="C155" t="s">
        <v>46</v>
      </c>
      <c r="D155" t="s">
        <v>126</v>
      </c>
      <c r="E155" t="s">
        <v>26</v>
      </c>
      <c r="F155">
        <v>31.308499999999999</v>
      </c>
      <c r="K155">
        <v>37.447499999999998</v>
      </c>
      <c r="P155">
        <v>34.185899999999997</v>
      </c>
      <c r="U155">
        <v>32.512900000000002</v>
      </c>
      <c r="Z155">
        <v>27.622</v>
      </c>
      <c r="AE155">
        <v>22.585899999999999</v>
      </c>
      <c r="AJ155">
        <v>17.439699999999998</v>
      </c>
      <c r="CI155" t="s">
        <v>126</v>
      </c>
    </row>
    <row r="156" spans="1:87" x14ac:dyDescent="0.45">
      <c r="A156" t="s">
        <v>24</v>
      </c>
      <c r="B156" t="s">
        <v>0</v>
      </c>
      <c r="C156" t="s">
        <v>46</v>
      </c>
      <c r="D156" t="s">
        <v>127</v>
      </c>
      <c r="E156" t="s">
        <v>26</v>
      </c>
      <c r="F156">
        <v>31.308499999999999</v>
      </c>
      <c r="K156">
        <v>37.447499999999998</v>
      </c>
      <c r="P156">
        <v>34.185899999999997</v>
      </c>
      <c r="U156">
        <v>32.512900000000002</v>
      </c>
      <c r="Z156">
        <v>27.622</v>
      </c>
      <c r="AE156">
        <v>22.585899999999999</v>
      </c>
      <c r="AJ156">
        <v>17.439699999999998</v>
      </c>
      <c r="CI156" t="s">
        <v>127</v>
      </c>
    </row>
    <row r="157" spans="1:87" x14ac:dyDescent="0.45">
      <c r="A157" t="s">
        <v>24</v>
      </c>
      <c r="B157" t="s">
        <v>0</v>
      </c>
      <c r="C157" t="s">
        <v>46</v>
      </c>
      <c r="D157" t="s">
        <v>128</v>
      </c>
      <c r="E157" t="s">
        <v>26</v>
      </c>
      <c r="F157">
        <v>0.92689999999999995</v>
      </c>
      <c r="K157">
        <v>1.4168000000000001</v>
      </c>
      <c r="P157">
        <v>1.9487000000000001</v>
      </c>
      <c r="U157">
        <v>4.7188999999999997</v>
      </c>
      <c r="Z157">
        <v>6.6052999999999997</v>
      </c>
      <c r="AE157">
        <v>8.5228000000000002</v>
      </c>
      <c r="AJ157">
        <v>10.6488</v>
      </c>
      <c r="CI157" t="s">
        <v>128</v>
      </c>
    </row>
    <row r="158" spans="1:87" x14ac:dyDescent="0.45">
      <c r="A158" t="s">
        <v>24</v>
      </c>
      <c r="B158" t="s">
        <v>0</v>
      </c>
      <c r="C158" t="s">
        <v>46</v>
      </c>
      <c r="D158" t="s">
        <v>129</v>
      </c>
      <c r="E158" t="s">
        <v>26</v>
      </c>
      <c r="F158">
        <v>1.4107000000000001</v>
      </c>
      <c r="K158">
        <v>1.3697999999999999</v>
      </c>
      <c r="P158">
        <v>1.2729999999999999</v>
      </c>
      <c r="U158">
        <v>3.5061</v>
      </c>
      <c r="Z158">
        <v>3.6183999999999998</v>
      </c>
      <c r="AE158">
        <v>4.6577000000000002</v>
      </c>
      <c r="AJ158">
        <v>6.1067999999999998</v>
      </c>
      <c r="CI158" t="s">
        <v>129</v>
      </c>
    </row>
    <row r="159" spans="1:87" x14ac:dyDescent="0.45">
      <c r="A159" t="s">
        <v>24</v>
      </c>
      <c r="B159" t="s">
        <v>0</v>
      </c>
      <c r="C159" t="s">
        <v>46</v>
      </c>
      <c r="D159" t="s">
        <v>130</v>
      </c>
      <c r="E159" t="s">
        <v>100</v>
      </c>
      <c r="F159">
        <v>0</v>
      </c>
      <c r="K159">
        <v>34.900300000000001</v>
      </c>
      <c r="P159">
        <v>0</v>
      </c>
      <c r="U159">
        <v>276.55059999999997</v>
      </c>
      <c r="Z159">
        <v>319.39499999999998</v>
      </c>
      <c r="AE159">
        <v>318.28149999999999</v>
      </c>
      <c r="AJ159">
        <v>309.45819999999998</v>
      </c>
      <c r="CI159" t="s">
        <v>130</v>
      </c>
    </row>
    <row r="160" spans="1:87" x14ac:dyDescent="0.45">
      <c r="A160" t="s">
        <v>24</v>
      </c>
      <c r="B160" t="s">
        <v>0</v>
      </c>
      <c r="C160" t="s">
        <v>46</v>
      </c>
      <c r="D160" t="s">
        <v>131</v>
      </c>
      <c r="E160" t="s">
        <v>100</v>
      </c>
      <c r="F160">
        <v>0</v>
      </c>
      <c r="K160">
        <v>2.9759000000000002</v>
      </c>
      <c r="P160">
        <v>0</v>
      </c>
      <c r="U160">
        <v>30.671600000000002</v>
      </c>
      <c r="Z160">
        <v>37.8035</v>
      </c>
      <c r="AE160">
        <v>40.251399999999997</v>
      </c>
      <c r="AJ160">
        <v>42.105600000000003</v>
      </c>
      <c r="CI160" t="s">
        <v>131</v>
      </c>
    </row>
    <row r="161" spans="1:87" x14ac:dyDescent="0.45">
      <c r="A161" t="s">
        <v>24</v>
      </c>
      <c r="B161" t="s">
        <v>0</v>
      </c>
      <c r="C161" t="s">
        <v>46</v>
      </c>
      <c r="D161" t="s">
        <v>132</v>
      </c>
      <c r="E161" t="s">
        <v>100</v>
      </c>
      <c r="F161">
        <v>0</v>
      </c>
      <c r="K161">
        <v>4.3128000000000002</v>
      </c>
      <c r="P161">
        <v>0</v>
      </c>
      <c r="U161">
        <v>38.787199999999999</v>
      </c>
      <c r="Z161">
        <v>38.599899999999998</v>
      </c>
      <c r="AE161">
        <v>34.692100000000003</v>
      </c>
      <c r="AJ161">
        <v>33.332599999999999</v>
      </c>
      <c r="CI161" t="s">
        <v>132</v>
      </c>
    </row>
    <row r="162" spans="1:87" x14ac:dyDescent="0.45">
      <c r="A162" t="s">
        <v>24</v>
      </c>
      <c r="B162" t="s">
        <v>0</v>
      </c>
      <c r="C162" t="s">
        <v>46</v>
      </c>
      <c r="D162" t="s">
        <v>133</v>
      </c>
      <c r="E162" t="s">
        <v>100</v>
      </c>
      <c r="F162">
        <v>0</v>
      </c>
      <c r="K162">
        <v>12.5776</v>
      </c>
      <c r="P162">
        <v>0</v>
      </c>
      <c r="U162">
        <v>124.9639</v>
      </c>
      <c r="Z162">
        <v>153.3673</v>
      </c>
      <c r="AE162">
        <v>164.14060000000001</v>
      </c>
      <c r="AJ162">
        <v>162.0077</v>
      </c>
      <c r="CI162" t="s">
        <v>133</v>
      </c>
    </row>
    <row r="163" spans="1:87" x14ac:dyDescent="0.45">
      <c r="A163" t="s">
        <v>24</v>
      </c>
      <c r="B163" t="s">
        <v>0</v>
      </c>
      <c r="C163" t="s">
        <v>46</v>
      </c>
      <c r="D163" t="s">
        <v>134</v>
      </c>
      <c r="E163" t="s">
        <v>100</v>
      </c>
      <c r="F163">
        <v>0</v>
      </c>
      <c r="K163">
        <v>15.034000000000001</v>
      </c>
      <c r="P163">
        <v>0</v>
      </c>
      <c r="U163">
        <v>82.127899999999997</v>
      </c>
      <c r="Z163">
        <v>89.624300000000005</v>
      </c>
      <c r="AE163">
        <v>79.197400000000002</v>
      </c>
      <c r="AJ163">
        <v>72.012299999999996</v>
      </c>
      <c r="CI163" t="s">
        <v>134</v>
      </c>
    </row>
    <row r="164" spans="1:87" x14ac:dyDescent="0.45">
      <c r="A164" t="s">
        <v>24</v>
      </c>
      <c r="B164" t="s">
        <v>0</v>
      </c>
      <c r="C164" t="s">
        <v>46</v>
      </c>
      <c r="D164" t="s">
        <v>135</v>
      </c>
      <c r="E164" t="s">
        <v>26</v>
      </c>
      <c r="F164">
        <v>4.7694999999999999</v>
      </c>
      <c r="K164">
        <v>5.0204000000000004</v>
      </c>
      <c r="P164">
        <v>4.5848000000000004</v>
      </c>
      <c r="U164">
        <v>0.47689999999999999</v>
      </c>
      <c r="Z164">
        <v>6.7900000000000002E-2</v>
      </c>
      <c r="AE164">
        <v>7.1999999999999998E-3</v>
      </c>
      <c r="AJ164">
        <v>7.3000000000000001E-3</v>
      </c>
      <c r="CI164" t="s">
        <v>135</v>
      </c>
    </row>
    <row r="165" spans="1:87" x14ac:dyDescent="0.45">
      <c r="A165" t="s">
        <v>24</v>
      </c>
      <c r="B165" t="s">
        <v>0</v>
      </c>
      <c r="C165" t="s">
        <v>46</v>
      </c>
      <c r="D165" t="s">
        <v>136</v>
      </c>
      <c r="E165" t="s">
        <v>26</v>
      </c>
      <c r="F165">
        <v>4.38</v>
      </c>
      <c r="K165">
        <v>5.1144999999999996</v>
      </c>
      <c r="P165">
        <v>6.7</v>
      </c>
      <c r="U165">
        <v>7.9779</v>
      </c>
      <c r="Z165">
        <v>8.1389999999999993</v>
      </c>
      <c r="AE165">
        <v>7.1242999999999999</v>
      </c>
      <c r="AJ165">
        <v>5.5101000000000004</v>
      </c>
      <c r="CI165" t="s">
        <v>136</v>
      </c>
    </row>
    <row r="166" spans="1:87" x14ac:dyDescent="0.45">
      <c r="A166" t="s">
        <v>24</v>
      </c>
      <c r="B166" t="s">
        <v>0</v>
      </c>
      <c r="C166" t="s">
        <v>46</v>
      </c>
      <c r="D166" t="s">
        <v>137</v>
      </c>
      <c r="E166" t="s">
        <v>26</v>
      </c>
      <c r="F166">
        <v>5.6300000000000003E-2</v>
      </c>
      <c r="K166">
        <v>4.5199999999999997E-2</v>
      </c>
      <c r="P166">
        <v>3.6400000000000002E-2</v>
      </c>
      <c r="U166">
        <v>0.1229</v>
      </c>
      <c r="Z166">
        <v>0.25019999999999998</v>
      </c>
      <c r="AE166">
        <v>0.43709999999999999</v>
      </c>
      <c r="AJ166">
        <v>0.70989999999999998</v>
      </c>
      <c r="CI166" t="s">
        <v>137</v>
      </c>
    </row>
    <row r="167" spans="1:87" x14ac:dyDescent="0.45">
      <c r="A167" t="s">
        <v>24</v>
      </c>
      <c r="B167" t="s">
        <v>0</v>
      </c>
      <c r="C167" t="s">
        <v>46</v>
      </c>
      <c r="D167" t="s">
        <v>138</v>
      </c>
      <c r="E167" t="s">
        <v>26</v>
      </c>
      <c r="F167">
        <v>1.1474</v>
      </c>
      <c r="K167">
        <v>1.1391</v>
      </c>
      <c r="P167">
        <v>1.1309</v>
      </c>
      <c r="U167">
        <v>1.5259</v>
      </c>
      <c r="Z167">
        <v>1.5658000000000001</v>
      </c>
      <c r="AE167">
        <v>1.5964</v>
      </c>
      <c r="AJ167">
        <v>1.6256999999999999</v>
      </c>
      <c r="CI167" t="s">
        <v>138</v>
      </c>
    </row>
    <row r="168" spans="1:87" x14ac:dyDescent="0.45">
      <c r="A168" t="s">
        <v>24</v>
      </c>
      <c r="B168" t="s">
        <v>0</v>
      </c>
      <c r="C168" t="s">
        <v>46</v>
      </c>
      <c r="D168" t="s">
        <v>139</v>
      </c>
      <c r="E168" t="s">
        <v>26</v>
      </c>
      <c r="F168">
        <v>3.0230000000000001</v>
      </c>
      <c r="K168">
        <v>3.0061</v>
      </c>
      <c r="P168">
        <v>2.8679999999999999</v>
      </c>
      <c r="U168">
        <v>2.5341999999999998</v>
      </c>
      <c r="Z168">
        <v>2.5525000000000002</v>
      </c>
      <c r="AE168">
        <v>2.4605000000000001</v>
      </c>
      <c r="AJ168">
        <v>2.4731000000000001</v>
      </c>
      <c r="CI168" t="s">
        <v>139</v>
      </c>
    </row>
    <row r="169" spans="1:87" x14ac:dyDescent="0.45">
      <c r="A169" t="s">
        <v>24</v>
      </c>
      <c r="B169" t="s">
        <v>0</v>
      </c>
      <c r="C169" t="s">
        <v>46</v>
      </c>
      <c r="D169" t="s">
        <v>140</v>
      </c>
      <c r="E169" t="s">
        <v>26</v>
      </c>
      <c r="F169">
        <v>0.67259999999999998</v>
      </c>
      <c r="K169">
        <v>0.66900000000000004</v>
      </c>
      <c r="P169">
        <v>0.48559999999999998</v>
      </c>
      <c r="U169">
        <v>0.222</v>
      </c>
      <c r="Z169">
        <v>0</v>
      </c>
      <c r="AE169">
        <v>0</v>
      </c>
      <c r="AJ169">
        <v>0</v>
      </c>
      <c r="CI169" t="s">
        <v>140</v>
      </c>
    </row>
    <row r="170" spans="1:87" x14ac:dyDescent="0.45">
      <c r="A170" t="s">
        <v>24</v>
      </c>
      <c r="B170" t="s">
        <v>0</v>
      </c>
      <c r="C170" t="s">
        <v>46</v>
      </c>
      <c r="D170" t="s">
        <v>141</v>
      </c>
      <c r="E170" t="s">
        <v>26</v>
      </c>
      <c r="F170">
        <v>0.72889999999999999</v>
      </c>
      <c r="K170">
        <v>0.62180000000000002</v>
      </c>
      <c r="P170">
        <v>0.5383</v>
      </c>
      <c r="U170">
        <v>3.0213999999999999</v>
      </c>
      <c r="Z170">
        <v>4.1332000000000004</v>
      </c>
      <c r="AE170">
        <v>5.7900999999999998</v>
      </c>
      <c r="AJ170">
        <v>7.6273999999999997</v>
      </c>
      <c r="CI170" t="s">
        <v>141</v>
      </c>
    </row>
    <row r="171" spans="1:87" x14ac:dyDescent="0.45">
      <c r="A171" t="s">
        <v>24</v>
      </c>
      <c r="B171" t="s">
        <v>0</v>
      </c>
      <c r="C171" t="s">
        <v>46</v>
      </c>
      <c r="D171" t="s">
        <v>142</v>
      </c>
      <c r="E171" t="s">
        <v>26</v>
      </c>
      <c r="F171">
        <v>2.8420999999999998</v>
      </c>
      <c r="K171">
        <v>2.7336999999999998</v>
      </c>
      <c r="P171">
        <v>2.5813000000000001</v>
      </c>
      <c r="U171">
        <v>3.4319000000000002</v>
      </c>
      <c r="Z171">
        <v>3.2719999999999998</v>
      </c>
      <c r="AE171">
        <v>3.1802999999999999</v>
      </c>
      <c r="AJ171">
        <v>2.7158000000000002</v>
      </c>
      <c r="CI171" t="s">
        <v>142</v>
      </c>
    </row>
    <row r="172" spans="1:87" x14ac:dyDescent="0.45">
      <c r="A172" t="s">
        <v>24</v>
      </c>
      <c r="B172" t="s">
        <v>0</v>
      </c>
      <c r="C172" t="s">
        <v>46</v>
      </c>
      <c r="D172" t="s">
        <v>143</v>
      </c>
      <c r="E172" t="s">
        <v>26</v>
      </c>
      <c r="F172">
        <v>1.4107000000000001</v>
      </c>
      <c r="K172">
        <v>1.3697999999999999</v>
      </c>
      <c r="P172">
        <v>1.2729999999999999</v>
      </c>
      <c r="U172">
        <v>3.6536</v>
      </c>
      <c r="Z172">
        <v>3.8925000000000001</v>
      </c>
      <c r="AE172">
        <v>5.0585000000000004</v>
      </c>
      <c r="AJ172">
        <v>6.5457000000000001</v>
      </c>
      <c r="CI172" t="s">
        <v>143</v>
      </c>
    </row>
    <row r="173" spans="1:87" x14ac:dyDescent="0.45">
      <c r="A173" t="s">
        <v>24</v>
      </c>
      <c r="B173" t="s">
        <v>0</v>
      </c>
      <c r="C173" t="s">
        <v>46</v>
      </c>
      <c r="D173" t="s">
        <v>144</v>
      </c>
      <c r="E173" t="s">
        <v>26</v>
      </c>
      <c r="F173">
        <v>21.816800000000001</v>
      </c>
      <c r="K173">
        <v>19.556999999999999</v>
      </c>
      <c r="P173">
        <v>20.292100000000001</v>
      </c>
      <c r="U173">
        <v>23.228100000000001</v>
      </c>
      <c r="Z173">
        <v>23.7822</v>
      </c>
      <c r="AE173">
        <v>23.224399999999999</v>
      </c>
      <c r="AJ173">
        <v>20.728400000000001</v>
      </c>
      <c r="CI173" t="s">
        <v>144</v>
      </c>
    </row>
    <row r="174" spans="1:87" x14ac:dyDescent="0.45">
      <c r="A174" t="s">
        <v>24</v>
      </c>
      <c r="B174" t="s">
        <v>0</v>
      </c>
      <c r="C174" t="s">
        <v>46</v>
      </c>
      <c r="D174" t="s">
        <v>145</v>
      </c>
      <c r="E174" t="s">
        <v>26</v>
      </c>
      <c r="F174">
        <v>21.816800000000001</v>
      </c>
      <c r="K174">
        <v>19.556999999999999</v>
      </c>
      <c r="P174">
        <v>20.292100000000001</v>
      </c>
      <c r="U174">
        <v>23.770900000000001</v>
      </c>
      <c r="Z174">
        <v>24.863499999999998</v>
      </c>
      <c r="AE174">
        <v>24.5367</v>
      </c>
      <c r="AJ174">
        <v>21.647200000000002</v>
      </c>
      <c r="CI174" t="s">
        <v>145</v>
      </c>
    </row>
    <row r="175" spans="1:87" x14ac:dyDescent="0.45">
      <c r="A175" t="s">
        <v>24</v>
      </c>
      <c r="B175" t="s">
        <v>0</v>
      </c>
      <c r="C175" t="s">
        <v>46</v>
      </c>
      <c r="D175" t="s">
        <v>146</v>
      </c>
      <c r="E175" t="s">
        <v>26</v>
      </c>
      <c r="F175">
        <v>0</v>
      </c>
      <c r="K175">
        <v>0</v>
      </c>
      <c r="P175">
        <v>0</v>
      </c>
      <c r="U175">
        <v>0</v>
      </c>
      <c r="Z175">
        <v>0</v>
      </c>
      <c r="AE175">
        <v>0.14849999999999999</v>
      </c>
      <c r="AJ175">
        <v>0.65480000000000005</v>
      </c>
      <c r="CI175" t="s">
        <v>146</v>
      </c>
    </row>
    <row r="176" spans="1:87" x14ac:dyDescent="0.45">
      <c r="A176" t="s">
        <v>24</v>
      </c>
      <c r="B176" t="s">
        <v>0</v>
      </c>
      <c r="C176" t="s">
        <v>46</v>
      </c>
      <c r="D176" t="s">
        <v>147</v>
      </c>
      <c r="E176" t="s">
        <v>26</v>
      </c>
      <c r="F176">
        <v>0.32269999999999999</v>
      </c>
      <c r="K176">
        <v>0.29870000000000002</v>
      </c>
      <c r="P176">
        <v>0.25929999999999997</v>
      </c>
      <c r="U176">
        <v>0.38059999999999999</v>
      </c>
      <c r="Z176">
        <v>0.56030000000000002</v>
      </c>
      <c r="AE176">
        <v>0.77549999999999997</v>
      </c>
      <c r="AJ176">
        <v>1.0724</v>
      </c>
      <c r="CI176" t="s">
        <v>147</v>
      </c>
    </row>
    <row r="177" spans="1:87" x14ac:dyDescent="0.45">
      <c r="A177" t="s">
        <v>24</v>
      </c>
      <c r="B177" t="s">
        <v>0</v>
      </c>
      <c r="C177" t="s">
        <v>46</v>
      </c>
      <c r="D177" t="s">
        <v>148</v>
      </c>
      <c r="E177" t="s">
        <v>26</v>
      </c>
      <c r="F177">
        <v>0.13400000000000001</v>
      </c>
      <c r="K177">
        <v>0.13730000000000001</v>
      </c>
      <c r="P177">
        <v>0.13600000000000001</v>
      </c>
      <c r="U177">
        <v>0.2646</v>
      </c>
      <c r="Z177">
        <v>0.39639999999999997</v>
      </c>
      <c r="AE177">
        <v>0.55089999999999995</v>
      </c>
      <c r="AJ177">
        <v>0.79769999999999996</v>
      </c>
      <c r="CI177" t="s">
        <v>148</v>
      </c>
    </row>
    <row r="178" spans="1:87" x14ac:dyDescent="0.45">
      <c r="A178" t="s">
        <v>24</v>
      </c>
      <c r="B178" t="s">
        <v>0</v>
      </c>
      <c r="C178" t="s">
        <v>46</v>
      </c>
      <c r="D178" t="s">
        <v>149</v>
      </c>
      <c r="E178" t="s">
        <v>26</v>
      </c>
      <c r="F178">
        <v>28.210799999999999</v>
      </c>
      <c r="K178">
        <v>28.246500000000001</v>
      </c>
      <c r="P178">
        <v>28.761600000000001</v>
      </c>
      <c r="U178">
        <v>26.154299999999999</v>
      </c>
      <c r="Z178">
        <v>23.834199999999999</v>
      </c>
      <c r="AE178">
        <v>20.532900000000001</v>
      </c>
      <c r="AJ178">
        <v>15.8309</v>
      </c>
      <c r="CI178" t="s">
        <v>149</v>
      </c>
    </row>
    <row r="179" spans="1:87" x14ac:dyDescent="0.45">
      <c r="A179" t="s">
        <v>24</v>
      </c>
      <c r="B179" t="s">
        <v>0</v>
      </c>
      <c r="C179" t="s">
        <v>46</v>
      </c>
      <c r="D179" t="s">
        <v>150</v>
      </c>
      <c r="E179" t="s">
        <v>26</v>
      </c>
      <c r="F179">
        <v>2.6875</v>
      </c>
      <c r="K179">
        <v>2.6734</v>
      </c>
      <c r="P179">
        <v>3.2955999999999999</v>
      </c>
      <c r="U179">
        <v>2.7826</v>
      </c>
      <c r="Z179">
        <v>2.6798999999999999</v>
      </c>
      <c r="AE179">
        <v>2.2637999999999998</v>
      </c>
      <c r="AJ179">
        <v>1.9903999999999999</v>
      </c>
      <c r="CI179" t="s">
        <v>150</v>
      </c>
    </row>
    <row r="180" spans="1:87" x14ac:dyDescent="0.45">
      <c r="A180" t="s">
        <v>24</v>
      </c>
      <c r="B180" t="s">
        <v>0</v>
      </c>
      <c r="C180" t="s">
        <v>46</v>
      </c>
      <c r="D180" t="s">
        <v>151</v>
      </c>
      <c r="E180" t="s">
        <v>26</v>
      </c>
      <c r="F180">
        <v>3.5000000000000001E-3</v>
      </c>
      <c r="K180">
        <v>0</v>
      </c>
      <c r="P180">
        <v>0</v>
      </c>
      <c r="U180">
        <v>1.09E-2</v>
      </c>
      <c r="Z180">
        <v>0</v>
      </c>
      <c r="AE180">
        <v>0</v>
      </c>
      <c r="AJ180">
        <v>0</v>
      </c>
      <c r="CI180" t="s">
        <v>151</v>
      </c>
    </row>
    <row r="181" spans="1:87" x14ac:dyDescent="0.45">
      <c r="A181" t="s">
        <v>24</v>
      </c>
      <c r="B181" t="s">
        <v>0</v>
      </c>
      <c r="C181" t="s">
        <v>46</v>
      </c>
      <c r="D181" t="s">
        <v>152</v>
      </c>
      <c r="E181" t="s">
        <v>26</v>
      </c>
      <c r="F181">
        <v>25.5198</v>
      </c>
      <c r="K181">
        <v>25.5731</v>
      </c>
      <c r="P181">
        <v>25.466000000000001</v>
      </c>
      <c r="U181">
        <v>23.761299999999999</v>
      </c>
      <c r="Z181">
        <v>21.9465</v>
      </c>
      <c r="AE181">
        <v>19.407499999999999</v>
      </c>
      <c r="AJ181">
        <v>15.1317</v>
      </c>
      <c r="CI181" t="s">
        <v>152</v>
      </c>
    </row>
    <row r="182" spans="1:87" x14ac:dyDescent="0.45">
      <c r="A182" t="s">
        <v>24</v>
      </c>
      <c r="B182" t="s">
        <v>0</v>
      </c>
      <c r="C182" t="s">
        <v>46</v>
      </c>
      <c r="D182" t="s">
        <v>153</v>
      </c>
      <c r="E182" t="s">
        <v>26</v>
      </c>
      <c r="F182">
        <v>1.0327999999999999</v>
      </c>
      <c r="K182">
        <v>1.1187</v>
      </c>
      <c r="P182">
        <v>1.2627999999999999</v>
      </c>
      <c r="U182">
        <v>0.87570000000000003</v>
      </c>
      <c r="Z182">
        <v>0.48530000000000001</v>
      </c>
      <c r="AE182">
        <v>0.29749999999999999</v>
      </c>
      <c r="AJ182">
        <v>0.42320000000000002</v>
      </c>
      <c r="CI182" t="s">
        <v>153</v>
      </c>
    </row>
    <row r="183" spans="1:87" x14ac:dyDescent="0.45">
      <c r="A183" t="s">
        <v>24</v>
      </c>
      <c r="B183" t="s">
        <v>0</v>
      </c>
      <c r="C183" t="s">
        <v>46</v>
      </c>
      <c r="D183" t="s">
        <v>154</v>
      </c>
      <c r="E183" t="s">
        <v>26</v>
      </c>
      <c r="F183">
        <v>0.22539999999999999</v>
      </c>
      <c r="K183">
        <v>0.21890000000000001</v>
      </c>
      <c r="P183">
        <v>0</v>
      </c>
      <c r="U183">
        <v>1.0500000000000001E-2</v>
      </c>
      <c r="Z183">
        <v>0</v>
      </c>
      <c r="AE183">
        <v>0.1389</v>
      </c>
      <c r="AJ183">
        <v>0.36059999999999998</v>
      </c>
      <c r="CI183" t="s">
        <v>154</v>
      </c>
    </row>
    <row r="184" spans="1:87" x14ac:dyDescent="0.45">
      <c r="A184" t="s">
        <v>24</v>
      </c>
      <c r="B184" t="s">
        <v>0</v>
      </c>
      <c r="C184" t="s">
        <v>46</v>
      </c>
      <c r="D184" t="s">
        <v>155</v>
      </c>
      <c r="E184" t="s">
        <v>26</v>
      </c>
      <c r="F184">
        <v>0.80740000000000001</v>
      </c>
      <c r="K184">
        <v>0.89980000000000004</v>
      </c>
      <c r="P184">
        <v>1.2627999999999999</v>
      </c>
      <c r="U184">
        <v>0.86519999999999997</v>
      </c>
      <c r="Z184">
        <v>0.48530000000000001</v>
      </c>
      <c r="AE184">
        <v>0.1585</v>
      </c>
      <c r="AJ184">
        <v>6.2700000000000006E-2</v>
      </c>
      <c r="CI184" t="s">
        <v>155</v>
      </c>
    </row>
    <row r="185" spans="1:87" x14ac:dyDescent="0.45">
      <c r="A185" t="s">
        <v>24</v>
      </c>
      <c r="B185" t="s">
        <v>0</v>
      </c>
      <c r="C185" t="s">
        <v>46</v>
      </c>
      <c r="D185" t="s">
        <v>156</v>
      </c>
      <c r="E185" t="s">
        <v>48</v>
      </c>
      <c r="F185">
        <v>67.676699999999997</v>
      </c>
      <c r="K185">
        <v>56.797499999999999</v>
      </c>
      <c r="P185">
        <v>54.061900000000001</v>
      </c>
      <c r="U185">
        <v>-10.884</v>
      </c>
      <c r="Z185">
        <v>-65.746600000000001</v>
      </c>
      <c r="AE185">
        <v>-103.7869</v>
      </c>
      <c r="AJ185">
        <v>-125.575</v>
      </c>
      <c r="CI185" t="s">
        <v>156</v>
      </c>
    </row>
    <row r="186" spans="1:87" x14ac:dyDescent="0.45">
      <c r="A186" t="s">
        <v>24</v>
      </c>
      <c r="B186" t="s">
        <v>0</v>
      </c>
      <c r="C186" t="s">
        <v>46</v>
      </c>
      <c r="D186" t="s">
        <v>157</v>
      </c>
      <c r="E186" t="s">
        <v>48</v>
      </c>
      <c r="F186">
        <v>91.032300000000006</v>
      </c>
      <c r="K186">
        <v>82.026700000000005</v>
      </c>
      <c r="P186">
        <v>62.934399999999997</v>
      </c>
      <c r="U186">
        <v>37.335599999999999</v>
      </c>
      <c r="Z186">
        <v>21.941099999999999</v>
      </c>
      <c r="AE186">
        <v>9.173</v>
      </c>
      <c r="CI186" t="s">
        <v>157</v>
      </c>
    </row>
    <row r="187" spans="1:87" x14ac:dyDescent="0.45">
      <c r="A187" t="s">
        <v>24</v>
      </c>
      <c r="B187" t="s">
        <v>0</v>
      </c>
      <c r="C187" t="s">
        <v>46</v>
      </c>
      <c r="D187" t="s">
        <v>158</v>
      </c>
      <c r="E187" t="s">
        <v>48</v>
      </c>
      <c r="F187">
        <v>6.8491</v>
      </c>
      <c r="K187">
        <v>5.7076000000000002</v>
      </c>
      <c r="P187">
        <v>4.5660999999999996</v>
      </c>
      <c r="U187">
        <v>3.4245999999999999</v>
      </c>
      <c r="Z187">
        <v>2.2829999999999999</v>
      </c>
      <c r="AE187">
        <v>1.1415</v>
      </c>
      <c r="CI187" t="s">
        <v>158</v>
      </c>
    </row>
    <row r="188" spans="1:87" x14ac:dyDescent="0.45">
      <c r="A188" t="s">
        <v>24</v>
      </c>
      <c r="B188" t="s">
        <v>0</v>
      </c>
      <c r="C188" t="s">
        <v>46</v>
      </c>
      <c r="D188" t="s">
        <v>159</v>
      </c>
      <c r="E188" t="s">
        <v>48</v>
      </c>
      <c r="F188">
        <v>34.7941</v>
      </c>
      <c r="K188">
        <v>34.7941</v>
      </c>
      <c r="P188">
        <v>34.7941</v>
      </c>
      <c r="U188">
        <v>34.7941</v>
      </c>
      <c r="Z188">
        <v>34.7941</v>
      </c>
      <c r="AE188">
        <v>34.7941</v>
      </c>
      <c r="AJ188">
        <v>34.7941</v>
      </c>
      <c r="CI188" t="s">
        <v>159</v>
      </c>
    </row>
    <row r="189" spans="1:87" x14ac:dyDescent="0.45">
      <c r="A189" t="s">
        <v>24</v>
      </c>
      <c r="B189" t="s">
        <v>0</v>
      </c>
      <c r="C189" t="s">
        <v>46</v>
      </c>
      <c r="D189" t="s">
        <v>160</v>
      </c>
      <c r="E189" t="s">
        <v>66</v>
      </c>
      <c r="F189">
        <v>4.1596000000000002</v>
      </c>
      <c r="K189">
        <v>3.4664000000000001</v>
      </c>
      <c r="P189">
        <v>2.7730999999999999</v>
      </c>
      <c r="U189">
        <v>2.0798000000000001</v>
      </c>
      <c r="Z189">
        <v>1.3865000000000001</v>
      </c>
      <c r="AE189">
        <v>0.69330000000000003</v>
      </c>
      <c r="CI189" t="s">
        <v>160</v>
      </c>
    </row>
    <row r="190" spans="1:87" x14ac:dyDescent="0.45">
      <c r="A190" t="s">
        <v>24</v>
      </c>
      <c r="B190" t="s">
        <v>0</v>
      </c>
      <c r="C190" t="s">
        <v>46</v>
      </c>
      <c r="D190" t="s">
        <v>161</v>
      </c>
      <c r="E190" t="s">
        <v>26</v>
      </c>
      <c r="F190">
        <v>-1.4241999999999999</v>
      </c>
      <c r="K190">
        <v>-0.871</v>
      </c>
      <c r="P190">
        <v>-0.61799999999999999</v>
      </c>
      <c r="U190">
        <v>-2.93E-2</v>
      </c>
      <c r="Z190">
        <v>0.22739999999999999</v>
      </c>
      <c r="AE190">
        <v>0.21260000000000001</v>
      </c>
      <c r="AJ190">
        <v>0</v>
      </c>
      <c r="CI190" t="s">
        <v>161</v>
      </c>
    </row>
    <row r="191" spans="1:87" x14ac:dyDescent="0.45">
      <c r="A191" t="s">
        <v>24</v>
      </c>
      <c r="B191" t="s">
        <v>0</v>
      </c>
      <c r="C191" t="s">
        <v>46</v>
      </c>
      <c r="D191" t="s">
        <v>162</v>
      </c>
      <c r="E191" t="s">
        <v>26</v>
      </c>
      <c r="F191">
        <v>-0.28570000000000001</v>
      </c>
      <c r="K191">
        <v>-0.2389</v>
      </c>
      <c r="P191">
        <v>-0.22459999999999999</v>
      </c>
      <c r="U191">
        <v>-0.1401</v>
      </c>
      <c r="Z191">
        <v>-8.9300000000000004E-2</v>
      </c>
      <c r="AE191">
        <v>-0.04</v>
      </c>
      <c r="CI191" t="s">
        <v>162</v>
      </c>
    </row>
    <row r="192" spans="1:87" x14ac:dyDescent="0.45">
      <c r="A192" t="s">
        <v>24</v>
      </c>
      <c r="B192" t="s">
        <v>0</v>
      </c>
      <c r="C192" t="s">
        <v>46</v>
      </c>
      <c r="D192" t="s">
        <v>163</v>
      </c>
      <c r="E192" t="s">
        <v>26</v>
      </c>
      <c r="F192">
        <v>-0.49149999999999999</v>
      </c>
      <c r="K192">
        <v>-0.43190000000000001</v>
      </c>
      <c r="P192">
        <v>-0.32719999999999999</v>
      </c>
      <c r="U192">
        <v>-3.6900000000000002E-2</v>
      </c>
      <c r="Z192">
        <v>-1.01E-2</v>
      </c>
      <c r="AE192">
        <v>-2.3E-3</v>
      </c>
      <c r="AJ192">
        <v>0</v>
      </c>
      <c r="CI192" t="s">
        <v>163</v>
      </c>
    </row>
    <row r="193" spans="1:87" x14ac:dyDescent="0.45">
      <c r="A193" t="s">
        <v>24</v>
      </c>
      <c r="B193" t="s">
        <v>0</v>
      </c>
      <c r="C193" t="s">
        <v>46</v>
      </c>
      <c r="D193" t="s">
        <v>164</v>
      </c>
      <c r="E193" t="s">
        <v>26</v>
      </c>
      <c r="F193">
        <v>-0.49149999999999999</v>
      </c>
      <c r="K193">
        <v>-0.43190000000000001</v>
      </c>
      <c r="P193">
        <v>-0.32719999999999999</v>
      </c>
      <c r="U193">
        <v>-3.6900000000000002E-2</v>
      </c>
      <c r="Z193">
        <v>-0.01</v>
      </c>
      <c r="AE193">
        <v>-2.3E-3</v>
      </c>
      <c r="CI193" t="s">
        <v>164</v>
      </c>
    </row>
    <row r="194" spans="1:87" x14ac:dyDescent="0.45">
      <c r="A194" t="s">
        <v>24</v>
      </c>
      <c r="B194" t="s">
        <v>0</v>
      </c>
      <c r="C194" t="s">
        <v>46</v>
      </c>
      <c r="D194" t="s">
        <v>165</v>
      </c>
      <c r="E194" t="s">
        <v>26</v>
      </c>
      <c r="F194">
        <v>0.33679999999999999</v>
      </c>
      <c r="K194">
        <v>0.2215</v>
      </c>
      <c r="P194">
        <v>0.19</v>
      </c>
      <c r="U194">
        <v>-0.78200000000000003</v>
      </c>
      <c r="Z194">
        <v>-1.6527000000000001</v>
      </c>
      <c r="AE194">
        <v>-2.3180000000000001</v>
      </c>
      <c r="AJ194">
        <v>-2.6959</v>
      </c>
      <c r="CI194" t="s">
        <v>165</v>
      </c>
    </row>
    <row r="195" spans="1:87" x14ac:dyDescent="0.45">
      <c r="A195" t="s">
        <v>24</v>
      </c>
      <c r="B195" t="s">
        <v>0</v>
      </c>
      <c r="C195" t="s">
        <v>46</v>
      </c>
      <c r="D195" t="s">
        <v>166</v>
      </c>
      <c r="E195" t="s">
        <v>26</v>
      </c>
      <c r="U195">
        <v>-6.7000000000000002E-3</v>
      </c>
      <c r="Z195">
        <v>-3.5200000000000002E-2</v>
      </c>
      <c r="AE195">
        <v>-9.8400000000000001E-2</v>
      </c>
      <c r="AJ195">
        <v>-0.221</v>
      </c>
      <c r="CI195" t="s">
        <v>166</v>
      </c>
    </row>
    <row r="196" spans="1:87" x14ac:dyDescent="0.45">
      <c r="A196" t="s">
        <v>24</v>
      </c>
      <c r="B196" t="s">
        <v>0</v>
      </c>
      <c r="C196" t="s">
        <v>46</v>
      </c>
      <c r="D196" t="s">
        <v>167</v>
      </c>
      <c r="E196" t="s">
        <v>26</v>
      </c>
      <c r="F196">
        <v>0.33679999999999999</v>
      </c>
      <c r="K196">
        <v>0.2215</v>
      </c>
      <c r="P196">
        <v>0.19</v>
      </c>
      <c r="U196">
        <v>-0.77100000000000002</v>
      </c>
      <c r="Z196">
        <v>-1.6102000000000001</v>
      </c>
      <c r="AE196">
        <v>-2.2126000000000001</v>
      </c>
      <c r="AJ196">
        <v>-2.4748000000000001</v>
      </c>
      <c r="CI196" t="s">
        <v>167</v>
      </c>
    </row>
    <row r="197" spans="1:87" x14ac:dyDescent="0.45">
      <c r="A197" t="s">
        <v>24</v>
      </c>
      <c r="B197" t="s">
        <v>0</v>
      </c>
      <c r="C197" t="s">
        <v>46</v>
      </c>
      <c r="D197" t="s">
        <v>168</v>
      </c>
      <c r="E197" t="s">
        <v>26</v>
      </c>
      <c r="F197">
        <v>-1.0216000000000001</v>
      </c>
      <c r="K197">
        <v>-0.77329999999999999</v>
      </c>
      <c r="P197">
        <v>-0.65090000000000003</v>
      </c>
      <c r="U197">
        <v>-0.56679999999999997</v>
      </c>
      <c r="Z197">
        <v>-0.38169999999999998</v>
      </c>
      <c r="AE197">
        <v>-0.17799999999999999</v>
      </c>
      <c r="AJ197">
        <v>0</v>
      </c>
      <c r="CI197" t="s">
        <v>168</v>
      </c>
    </row>
    <row r="198" spans="1:87" x14ac:dyDescent="0.45">
      <c r="A198" t="s">
        <v>24</v>
      </c>
      <c r="B198" t="s">
        <v>0</v>
      </c>
      <c r="C198" t="s">
        <v>46</v>
      </c>
      <c r="D198" t="s">
        <v>169</v>
      </c>
      <c r="E198" t="s">
        <v>26</v>
      </c>
      <c r="F198">
        <v>-1.0216000000000001</v>
      </c>
      <c r="K198">
        <v>-0.77329999999999999</v>
      </c>
      <c r="P198">
        <v>-0.65090000000000003</v>
      </c>
      <c r="U198">
        <v>-0.56669999999999998</v>
      </c>
      <c r="Z198">
        <v>-0.38159999999999999</v>
      </c>
      <c r="AE198">
        <v>-0.17799999999999999</v>
      </c>
      <c r="CI198" t="s">
        <v>169</v>
      </c>
    </row>
    <row r="199" spans="1:87" x14ac:dyDescent="0.45">
      <c r="A199" t="s">
        <v>24</v>
      </c>
      <c r="B199" t="s">
        <v>0</v>
      </c>
      <c r="C199" t="s">
        <v>46</v>
      </c>
      <c r="D199" t="s">
        <v>170</v>
      </c>
      <c r="E199" t="s">
        <v>26</v>
      </c>
      <c r="F199">
        <v>1.18E-2</v>
      </c>
      <c r="K199">
        <v>7.7999999999999996E-3</v>
      </c>
      <c r="P199">
        <v>4.8999999999999998E-3</v>
      </c>
      <c r="U199">
        <v>1.03E-2</v>
      </c>
      <c r="Z199">
        <v>1.3100000000000001E-2</v>
      </c>
      <c r="AE199">
        <v>1.09E-2</v>
      </c>
      <c r="CI199" t="s">
        <v>170</v>
      </c>
    </row>
    <row r="200" spans="1:87" x14ac:dyDescent="0.45">
      <c r="A200" t="s">
        <v>24</v>
      </c>
      <c r="B200" t="s">
        <v>0</v>
      </c>
      <c r="C200" t="s">
        <v>46</v>
      </c>
      <c r="D200" t="s">
        <v>171</v>
      </c>
      <c r="E200" t="s">
        <v>26</v>
      </c>
      <c r="F200">
        <v>-0.1459</v>
      </c>
      <c r="K200">
        <v>-0.1207</v>
      </c>
      <c r="P200">
        <v>-9.5799999999999996E-2</v>
      </c>
      <c r="U200">
        <v>-8.0799999999999997E-2</v>
      </c>
      <c r="Z200">
        <v>-4.9599999999999998E-2</v>
      </c>
      <c r="AE200">
        <v>-2.46E-2</v>
      </c>
      <c r="CI200" t="s">
        <v>171</v>
      </c>
    </row>
    <row r="201" spans="1:87" x14ac:dyDescent="0.45">
      <c r="A201" t="s">
        <v>24</v>
      </c>
      <c r="B201" t="s">
        <v>0</v>
      </c>
      <c r="C201" t="s">
        <v>46</v>
      </c>
      <c r="D201" t="s">
        <v>172</v>
      </c>
      <c r="E201" t="s">
        <v>26</v>
      </c>
      <c r="F201">
        <v>-4.2999999999999997E-2</v>
      </c>
      <c r="K201">
        <v>-3.56E-2</v>
      </c>
      <c r="P201">
        <v>-2.7199999999999998E-2</v>
      </c>
      <c r="U201">
        <v>-1.8100000000000002E-2</v>
      </c>
      <c r="Z201">
        <v>-1.2200000000000001E-2</v>
      </c>
      <c r="AE201">
        <v>-5.8999999999999999E-3</v>
      </c>
      <c r="CI201" t="s">
        <v>172</v>
      </c>
    </row>
    <row r="202" spans="1:87" x14ac:dyDescent="0.45">
      <c r="A202" t="s">
        <v>24</v>
      </c>
      <c r="B202" t="s">
        <v>0</v>
      </c>
      <c r="C202" t="s">
        <v>46</v>
      </c>
      <c r="D202" t="s">
        <v>173</v>
      </c>
      <c r="E202" t="s">
        <v>26</v>
      </c>
      <c r="F202">
        <v>0.52370000000000005</v>
      </c>
      <c r="K202">
        <v>0.52200000000000002</v>
      </c>
      <c r="P202">
        <v>0.38119999999999998</v>
      </c>
      <c r="U202">
        <v>0.27189999999999998</v>
      </c>
      <c r="Z202">
        <v>0.154</v>
      </c>
      <c r="AE202">
        <v>6.3E-2</v>
      </c>
      <c r="CI202" t="s">
        <v>173</v>
      </c>
    </row>
    <row r="203" spans="1:87" x14ac:dyDescent="0.45">
      <c r="A203" t="s">
        <v>24</v>
      </c>
      <c r="B203" t="s">
        <v>0</v>
      </c>
      <c r="C203" t="s">
        <v>46</v>
      </c>
      <c r="D203" t="s">
        <v>174</v>
      </c>
      <c r="E203" t="s">
        <v>26</v>
      </c>
      <c r="F203">
        <v>0.52370000000000005</v>
      </c>
      <c r="K203">
        <v>0.52200000000000002</v>
      </c>
      <c r="P203">
        <v>0.38119999999999998</v>
      </c>
      <c r="U203">
        <v>0.27189999999999998</v>
      </c>
      <c r="Z203">
        <v>0.154</v>
      </c>
      <c r="AE203">
        <v>6.3E-2</v>
      </c>
      <c r="CI203" t="s">
        <v>174</v>
      </c>
    </row>
    <row r="204" spans="1:87" x14ac:dyDescent="0.45">
      <c r="A204" t="s">
        <v>24</v>
      </c>
      <c r="B204" t="s">
        <v>0</v>
      </c>
      <c r="C204" t="s">
        <v>46</v>
      </c>
      <c r="D204" t="s">
        <v>175</v>
      </c>
      <c r="E204" t="s">
        <v>26</v>
      </c>
      <c r="F204">
        <v>0.38100000000000001</v>
      </c>
      <c r="K204">
        <v>0.48530000000000001</v>
      </c>
      <c r="P204">
        <v>0.53400000000000003</v>
      </c>
      <c r="U204">
        <v>0.96989999999999998</v>
      </c>
      <c r="Z204">
        <v>0.90500000000000003</v>
      </c>
      <c r="AE204">
        <v>0.58389999999999997</v>
      </c>
      <c r="CI204" t="s">
        <v>175</v>
      </c>
    </row>
    <row r="205" spans="1:87" x14ac:dyDescent="0.45">
      <c r="A205" t="s">
        <v>24</v>
      </c>
      <c r="B205" t="s">
        <v>0</v>
      </c>
      <c r="C205" t="s">
        <v>46</v>
      </c>
      <c r="D205" t="s">
        <v>176</v>
      </c>
      <c r="E205" t="s">
        <v>26</v>
      </c>
      <c r="F205">
        <v>-0.35310000000000002</v>
      </c>
      <c r="K205">
        <v>-0.28570000000000001</v>
      </c>
      <c r="P205">
        <v>-0.21240000000000001</v>
      </c>
      <c r="U205">
        <v>-0.43880000000000002</v>
      </c>
      <c r="Z205">
        <v>-0.3019</v>
      </c>
      <c r="AE205">
        <v>-0.1943</v>
      </c>
      <c r="CI205" t="s">
        <v>176</v>
      </c>
    </row>
    <row r="206" spans="1:87" x14ac:dyDescent="0.45">
      <c r="A206" t="s">
        <v>24</v>
      </c>
      <c r="B206" t="s">
        <v>0</v>
      </c>
      <c r="C206" t="s">
        <v>46</v>
      </c>
      <c r="D206" t="s">
        <v>177</v>
      </c>
      <c r="E206" t="s">
        <v>26</v>
      </c>
      <c r="F206">
        <v>-1.4628000000000001</v>
      </c>
      <c r="K206">
        <v>-1.1856</v>
      </c>
      <c r="P206">
        <v>-0.9194</v>
      </c>
      <c r="U206">
        <v>-1.7302</v>
      </c>
      <c r="Z206">
        <v>-1.361</v>
      </c>
      <c r="AE206">
        <v>-0.85450000000000004</v>
      </c>
      <c r="AJ206">
        <v>-5.7799999999999997E-2</v>
      </c>
      <c r="CI206" t="s">
        <v>177</v>
      </c>
    </row>
    <row r="207" spans="1:87" x14ac:dyDescent="0.45">
      <c r="A207" t="s">
        <v>24</v>
      </c>
      <c r="B207" t="s">
        <v>0</v>
      </c>
      <c r="C207" t="s">
        <v>46</v>
      </c>
      <c r="D207" t="s">
        <v>178</v>
      </c>
      <c r="E207" t="s">
        <v>26</v>
      </c>
      <c r="F207">
        <v>-0.34250000000000003</v>
      </c>
      <c r="K207">
        <v>-0.25990000000000002</v>
      </c>
      <c r="P207">
        <v>-0.1484</v>
      </c>
      <c r="U207">
        <v>-9.1899999999999996E-2</v>
      </c>
      <c r="Z207">
        <v>-5.21E-2</v>
      </c>
      <c r="AE207">
        <v>-8.0999999999999996E-3</v>
      </c>
      <c r="CI207" t="s">
        <v>178</v>
      </c>
    </row>
    <row r="208" spans="1:87" x14ac:dyDescent="0.45">
      <c r="A208" t="s">
        <v>24</v>
      </c>
      <c r="B208" t="s">
        <v>0</v>
      </c>
      <c r="C208" t="s">
        <v>46</v>
      </c>
      <c r="D208" t="s">
        <v>179</v>
      </c>
      <c r="E208" t="s">
        <v>26</v>
      </c>
      <c r="F208">
        <v>0.15060000000000001</v>
      </c>
      <c r="K208">
        <v>0.1321</v>
      </c>
      <c r="P208">
        <v>9.6500000000000002E-2</v>
      </c>
      <c r="U208">
        <v>7.4999999999999997E-3</v>
      </c>
      <c r="Z208">
        <v>6.9999999999999999E-4</v>
      </c>
      <c r="AE208">
        <v>0</v>
      </c>
      <c r="CI208" t="s">
        <v>179</v>
      </c>
    </row>
    <row r="209" spans="1:87" x14ac:dyDescent="0.45">
      <c r="A209" t="s">
        <v>24</v>
      </c>
      <c r="B209" t="s">
        <v>0</v>
      </c>
      <c r="C209" t="s">
        <v>46</v>
      </c>
      <c r="D209" t="s">
        <v>180</v>
      </c>
      <c r="E209" t="s">
        <v>26</v>
      </c>
      <c r="F209">
        <v>-0.30009999999999998</v>
      </c>
      <c r="K209">
        <v>-0.29199999999999998</v>
      </c>
      <c r="P209">
        <v>-0.30609999999999998</v>
      </c>
      <c r="U209">
        <v>-0.27329999999999999</v>
      </c>
      <c r="Z209">
        <v>-0.18590000000000001</v>
      </c>
      <c r="AE209">
        <v>-8.14E-2</v>
      </c>
      <c r="CI209" t="s">
        <v>180</v>
      </c>
    </row>
    <row r="210" spans="1:87" x14ac:dyDescent="0.45">
      <c r="A210" t="s">
        <v>24</v>
      </c>
      <c r="B210" t="s">
        <v>0</v>
      </c>
      <c r="C210" t="s">
        <v>46</v>
      </c>
      <c r="D210" t="s">
        <v>181</v>
      </c>
      <c r="E210" t="s">
        <v>26</v>
      </c>
      <c r="F210">
        <v>1.7500000000000002E-2</v>
      </c>
      <c r="K210">
        <v>1.17E-2</v>
      </c>
      <c r="P210">
        <v>7.4999999999999997E-3</v>
      </c>
      <c r="U210">
        <v>1.9099999999999999E-2</v>
      </c>
      <c r="Z210">
        <v>2.5899999999999999E-2</v>
      </c>
      <c r="AE210">
        <v>2.2599999999999999E-2</v>
      </c>
      <c r="CI210" t="s">
        <v>181</v>
      </c>
    </row>
    <row r="211" spans="1:87" x14ac:dyDescent="0.45">
      <c r="A211" t="s">
        <v>24</v>
      </c>
      <c r="B211" t="s">
        <v>0</v>
      </c>
      <c r="C211" t="s">
        <v>46</v>
      </c>
      <c r="D211" t="s">
        <v>182</v>
      </c>
      <c r="E211" t="s">
        <v>26</v>
      </c>
      <c r="F211">
        <v>-0.1459</v>
      </c>
      <c r="K211">
        <v>-0.1207</v>
      </c>
      <c r="P211">
        <v>-9.5799999999999996E-2</v>
      </c>
      <c r="U211">
        <v>-9.7000000000000003E-2</v>
      </c>
      <c r="Z211">
        <v>-6.6299999999999998E-2</v>
      </c>
      <c r="AE211">
        <v>-3.3799999999999997E-2</v>
      </c>
      <c r="CI211" t="s">
        <v>182</v>
      </c>
    </row>
    <row r="212" spans="1:87" x14ac:dyDescent="0.45">
      <c r="A212" t="s">
        <v>24</v>
      </c>
      <c r="B212" t="s">
        <v>0</v>
      </c>
      <c r="C212" t="s">
        <v>46</v>
      </c>
      <c r="D212" t="s">
        <v>183</v>
      </c>
      <c r="E212" t="s">
        <v>26</v>
      </c>
      <c r="F212">
        <v>-4.65E-2</v>
      </c>
      <c r="K212">
        <v>-3.85E-2</v>
      </c>
      <c r="P212">
        <v>-2.9399999999999999E-2</v>
      </c>
      <c r="U212">
        <v>-1.95E-2</v>
      </c>
      <c r="Z212">
        <v>-1.3100000000000001E-2</v>
      </c>
      <c r="AE212">
        <v>-6.3E-3</v>
      </c>
      <c r="CI212" t="s">
        <v>183</v>
      </c>
    </row>
    <row r="213" spans="1:87" x14ac:dyDescent="0.45">
      <c r="A213" t="s">
        <v>24</v>
      </c>
      <c r="B213" t="s">
        <v>0</v>
      </c>
      <c r="C213" t="s">
        <v>46</v>
      </c>
      <c r="D213" t="s">
        <v>184</v>
      </c>
      <c r="E213" t="s">
        <v>26</v>
      </c>
      <c r="F213">
        <v>-5.6000000000000001E-2</v>
      </c>
      <c r="K213">
        <v>-4.6399999999999997E-2</v>
      </c>
      <c r="P213">
        <v>-2.7E-2</v>
      </c>
      <c r="U213">
        <v>-9.1999999999999998E-3</v>
      </c>
      <c r="CI213" t="s">
        <v>184</v>
      </c>
    </row>
    <row r="214" spans="1:87" x14ac:dyDescent="0.45">
      <c r="A214" t="s">
        <v>24</v>
      </c>
      <c r="B214" t="s">
        <v>0</v>
      </c>
      <c r="C214" t="s">
        <v>46</v>
      </c>
      <c r="D214" t="s">
        <v>185</v>
      </c>
      <c r="E214" t="s">
        <v>26</v>
      </c>
      <c r="F214">
        <v>-0.34760000000000002</v>
      </c>
      <c r="K214">
        <v>-0.24709999999999999</v>
      </c>
      <c r="P214">
        <v>-0.1711</v>
      </c>
      <c r="U214">
        <v>-0.72040000000000004</v>
      </c>
      <c r="Z214">
        <v>-0.65700000000000003</v>
      </c>
      <c r="AE214">
        <v>-0.4602</v>
      </c>
      <c r="CI214" t="s">
        <v>185</v>
      </c>
    </row>
    <row r="215" spans="1:87" x14ac:dyDescent="0.45">
      <c r="A215" t="s">
        <v>24</v>
      </c>
      <c r="B215" t="s">
        <v>0</v>
      </c>
      <c r="C215" t="s">
        <v>46</v>
      </c>
      <c r="D215" t="s">
        <v>186</v>
      </c>
      <c r="E215" t="s">
        <v>26</v>
      </c>
      <c r="F215">
        <v>-0.35310000000000002</v>
      </c>
      <c r="K215">
        <v>-0.28570000000000001</v>
      </c>
      <c r="P215">
        <v>-0.21240000000000001</v>
      </c>
      <c r="U215">
        <v>-0.4572</v>
      </c>
      <c r="Z215">
        <v>-0.32469999999999999</v>
      </c>
      <c r="AE215">
        <v>-0.21099999999999999</v>
      </c>
      <c r="CI215" t="s">
        <v>186</v>
      </c>
    </row>
    <row r="216" spans="1:87" x14ac:dyDescent="0.45">
      <c r="A216" t="s">
        <v>24</v>
      </c>
      <c r="B216" t="s">
        <v>0</v>
      </c>
      <c r="C216" t="s">
        <v>46</v>
      </c>
      <c r="D216" t="s">
        <v>187</v>
      </c>
      <c r="E216" t="s">
        <v>26</v>
      </c>
      <c r="F216">
        <v>0</v>
      </c>
      <c r="K216">
        <v>0</v>
      </c>
      <c r="P216">
        <v>-1.0652999999999999</v>
      </c>
      <c r="U216">
        <v>-0.54910000000000003</v>
      </c>
      <c r="Z216">
        <v>-0.8821</v>
      </c>
      <c r="AE216">
        <v>-0.74780000000000002</v>
      </c>
      <c r="AJ216">
        <v>-0.81599999999999995</v>
      </c>
      <c r="CI216" t="s">
        <v>187</v>
      </c>
    </row>
    <row r="217" spans="1:87" x14ac:dyDescent="0.45">
      <c r="A217" t="s">
        <v>24</v>
      </c>
      <c r="B217" t="s">
        <v>0</v>
      </c>
      <c r="C217" t="s">
        <v>46</v>
      </c>
      <c r="D217" t="s">
        <v>188</v>
      </c>
      <c r="E217" t="s">
        <v>26</v>
      </c>
      <c r="F217">
        <v>0</v>
      </c>
      <c r="K217">
        <v>0</v>
      </c>
      <c r="P217">
        <v>0</v>
      </c>
      <c r="U217">
        <v>0.29570000000000002</v>
      </c>
      <c r="Z217">
        <v>0.67020000000000002</v>
      </c>
      <c r="AE217">
        <v>0.64710000000000001</v>
      </c>
      <c r="AJ217">
        <v>0.59550000000000003</v>
      </c>
      <c r="CI217" t="s">
        <v>188</v>
      </c>
    </row>
    <row r="218" spans="1:87" x14ac:dyDescent="0.45">
      <c r="A218" t="s">
        <v>24</v>
      </c>
      <c r="B218" t="s">
        <v>0</v>
      </c>
      <c r="C218" t="s">
        <v>46</v>
      </c>
      <c r="D218" t="s">
        <v>189</v>
      </c>
      <c r="E218" t="s">
        <v>26</v>
      </c>
      <c r="F218">
        <v>-0.32550000000000001</v>
      </c>
      <c r="K218">
        <v>-0.52490000000000003</v>
      </c>
      <c r="P218">
        <v>-0.75609999999999999</v>
      </c>
      <c r="U218">
        <v>-0.33439999999999998</v>
      </c>
      <c r="Z218">
        <v>-1.1000000000000001E-3</v>
      </c>
      <c r="AE218">
        <v>0</v>
      </c>
      <c r="AJ218">
        <v>0</v>
      </c>
      <c r="CI218" t="s">
        <v>189</v>
      </c>
    </row>
    <row r="219" spans="1:87" x14ac:dyDescent="0.45">
      <c r="A219" t="s">
        <v>24</v>
      </c>
      <c r="B219" t="s">
        <v>0</v>
      </c>
      <c r="C219" t="s">
        <v>46</v>
      </c>
      <c r="D219" t="s">
        <v>190</v>
      </c>
      <c r="E219" t="s">
        <v>26</v>
      </c>
      <c r="F219">
        <v>-8.6472999999999995</v>
      </c>
      <c r="K219">
        <v>-8.4522999999999993</v>
      </c>
      <c r="P219">
        <v>-9.3002000000000002</v>
      </c>
      <c r="U219">
        <v>-9.8301999999999996</v>
      </c>
      <c r="Z219">
        <v>-10.4367</v>
      </c>
      <c r="AE219">
        <v>-10.1157</v>
      </c>
      <c r="AJ219">
        <v>-7.7641999999999998</v>
      </c>
      <c r="CI219" t="s">
        <v>190</v>
      </c>
    </row>
    <row r="220" spans="1:87" x14ac:dyDescent="0.45">
      <c r="A220" t="s">
        <v>24</v>
      </c>
      <c r="B220" t="s">
        <v>0</v>
      </c>
      <c r="C220" t="s">
        <v>46</v>
      </c>
      <c r="D220" t="s">
        <v>191</v>
      </c>
      <c r="E220" t="s">
        <v>26</v>
      </c>
      <c r="F220">
        <v>68.188800073462289</v>
      </c>
      <c r="K220">
        <v>72.675529474773953</v>
      </c>
      <c r="P220">
        <v>71.693049016531631</v>
      </c>
      <c r="U220">
        <v>74.045310135740323</v>
      </c>
      <c r="Z220">
        <v>72.295794933279169</v>
      </c>
      <c r="AE220">
        <v>69.781379918994404</v>
      </c>
      <c r="AJ220">
        <v>67.859444999590011</v>
      </c>
      <c r="CI220" t="s">
        <v>191</v>
      </c>
    </row>
    <row r="221" spans="1:87" x14ac:dyDescent="0.45">
      <c r="A221" t="s">
        <v>24</v>
      </c>
      <c r="B221" t="s">
        <v>0</v>
      </c>
      <c r="C221" t="s">
        <v>46</v>
      </c>
      <c r="D221" t="s">
        <v>192</v>
      </c>
      <c r="E221" t="s">
        <v>26</v>
      </c>
      <c r="F221">
        <v>14.8443450498294</v>
      </c>
      <c r="K221">
        <v>15.979915027000891</v>
      </c>
      <c r="P221">
        <v>17.62417504930756</v>
      </c>
      <c r="U221">
        <v>18.407820000233841</v>
      </c>
      <c r="Z221">
        <v>19.35136489655871</v>
      </c>
      <c r="AE221">
        <v>18.429759956357241</v>
      </c>
      <c r="AJ221">
        <v>17.566515000114421</v>
      </c>
      <c r="CI221" t="s">
        <v>192</v>
      </c>
    </row>
    <row r="222" spans="1:87" x14ac:dyDescent="0.45">
      <c r="A222" t="s">
        <v>24</v>
      </c>
      <c r="B222" t="s">
        <v>0</v>
      </c>
      <c r="C222" t="s">
        <v>46</v>
      </c>
      <c r="D222" t="s">
        <v>193</v>
      </c>
      <c r="E222" t="s">
        <v>26</v>
      </c>
      <c r="F222">
        <v>2.444040089143527</v>
      </c>
      <c r="K222">
        <v>2.6170799954247901</v>
      </c>
      <c r="P222">
        <v>2.7121200100713261</v>
      </c>
      <c r="U222">
        <v>2.7604799957163642</v>
      </c>
      <c r="Z222">
        <v>2.8636800061415211</v>
      </c>
      <c r="AE222">
        <v>3.2119199988319318</v>
      </c>
      <c r="AJ222">
        <v>3.4837199999726072</v>
      </c>
      <c r="CI222" t="s">
        <v>193</v>
      </c>
    </row>
    <row r="223" spans="1:87" x14ac:dyDescent="0.45">
      <c r="A223" t="s">
        <v>24</v>
      </c>
      <c r="B223" t="s">
        <v>0</v>
      </c>
      <c r="C223" t="s">
        <v>46</v>
      </c>
      <c r="D223" t="s">
        <v>194</v>
      </c>
      <c r="E223" t="s">
        <v>26</v>
      </c>
      <c r="F223">
        <v>6.6413548369464479</v>
      </c>
      <c r="K223">
        <v>4.9775250903868624</v>
      </c>
      <c r="P223">
        <v>4.3529845284048179</v>
      </c>
      <c r="U223">
        <v>5.4854100008744577</v>
      </c>
      <c r="Z223">
        <v>6.5554649638115734</v>
      </c>
      <c r="AE223">
        <v>6.9224399809634392</v>
      </c>
      <c r="AJ223">
        <v>6.7994850000428642</v>
      </c>
      <c r="CI223" t="s">
        <v>194</v>
      </c>
    </row>
    <row r="224" spans="1:87" x14ac:dyDescent="0.45">
      <c r="A224" t="s">
        <v>24</v>
      </c>
      <c r="B224" t="s">
        <v>0</v>
      </c>
      <c r="C224" t="s">
        <v>46</v>
      </c>
      <c r="D224" t="s">
        <v>195</v>
      </c>
      <c r="E224" t="s">
        <v>26</v>
      </c>
      <c r="F224">
        <v>1.9247920590714781E-8</v>
      </c>
      <c r="K224">
        <v>0.1126400017290158</v>
      </c>
      <c r="P224">
        <v>0.2793999977285555</v>
      </c>
      <c r="U224">
        <v>0.46100999990882019</v>
      </c>
      <c r="Z224">
        <v>0.65394997588327897</v>
      </c>
      <c r="AE224">
        <v>0.51138999946302732</v>
      </c>
      <c r="AJ224">
        <v>0.2555300000359223</v>
      </c>
      <c r="CI224" t="s">
        <v>195</v>
      </c>
    </row>
    <row r="225" spans="1:87" x14ac:dyDescent="0.45">
      <c r="A225" t="s">
        <v>24</v>
      </c>
      <c r="B225" t="s">
        <v>0</v>
      </c>
      <c r="C225" t="s">
        <v>46</v>
      </c>
      <c r="D225" t="s">
        <v>196</v>
      </c>
      <c r="E225" t="s">
        <v>26</v>
      </c>
      <c r="F225">
        <v>2.3955806227604622E-9</v>
      </c>
      <c r="K225">
        <v>8.3709994133469495E-2</v>
      </c>
      <c r="P225">
        <v>8.4259975577673105E-2</v>
      </c>
      <c r="U225">
        <v>0.20119000091389069</v>
      </c>
      <c r="Z225">
        <v>0.2941399931506225</v>
      </c>
      <c r="AE225">
        <v>0.29117000000417032</v>
      </c>
      <c r="AJ225">
        <v>0.28864000000071099</v>
      </c>
      <c r="CI225" t="s">
        <v>196</v>
      </c>
    </row>
    <row r="226" spans="1:87" x14ac:dyDescent="0.45">
      <c r="A226" t="s">
        <v>24</v>
      </c>
      <c r="B226" t="s">
        <v>0</v>
      </c>
      <c r="C226" t="s">
        <v>46</v>
      </c>
      <c r="D226" t="s">
        <v>197</v>
      </c>
      <c r="E226" t="s">
        <v>26</v>
      </c>
      <c r="F226">
        <v>4.8432000430652806</v>
      </c>
      <c r="K226">
        <v>7.1949999440081811</v>
      </c>
      <c r="P226">
        <v>9.0723004575759205</v>
      </c>
      <c r="U226">
        <v>8.7431000022692213</v>
      </c>
      <c r="Z226">
        <v>8.3876999577314564</v>
      </c>
      <c r="AE226">
        <v>7.0584999827332311</v>
      </c>
      <c r="AJ226">
        <v>6.1797000000804578</v>
      </c>
      <c r="CI226" t="s">
        <v>197</v>
      </c>
    </row>
    <row r="227" spans="1:87" x14ac:dyDescent="0.45">
      <c r="A227" t="s">
        <v>24</v>
      </c>
      <c r="B227" t="s">
        <v>0</v>
      </c>
      <c r="C227" t="s">
        <v>46</v>
      </c>
      <c r="D227" t="s">
        <v>198</v>
      </c>
      <c r="E227" t="s">
        <v>26</v>
      </c>
      <c r="F227">
        <v>0.91575005903064277</v>
      </c>
      <c r="K227">
        <v>0.99396000131856799</v>
      </c>
      <c r="P227">
        <v>1.123110079949271</v>
      </c>
      <c r="U227">
        <v>0.75663000055109109</v>
      </c>
      <c r="Z227">
        <v>0.59642999984025735</v>
      </c>
      <c r="AE227">
        <v>0.43433999436143361</v>
      </c>
      <c r="AJ227">
        <v>0.55943999998186156</v>
      </c>
      <c r="CI227" t="s">
        <v>198</v>
      </c>
    </row>
    <row r="228" spans="1:87" x14ac:dyDescent="0.45">
      <c r="A228" t="s">
        <v>24</v>
      </c>
      <c r="B228" t="s">
        <v>0</v>
      </c>
      <c r="C228" t="s">
        <v>46</v>
      </c>
      <c r="D228" t="s">
        <v>199</v>
      </c>
      <c r="E228" t="s">
        <v>26</v>
      </c>
      <c r="F228">
        <v>27.894455000322459</v>
      </c>
      <c r="K228">
        <v>29.485714944512601</v>
      </c>
      <c r="P228">
        <v>30.068275275319191</v>
      </c>
      <c r="U228">
        <v>29.152490037963851</v>
      </c>
      <c r="Z228">
        <v>28.01963005033673</v>
      </c>
      <c r="AE228">
        <v>27.849534993522042</v>
      </c>
      <c r="AJ228">
        <v>28.3107699999182</v>
      </c>
      <c r="CI228" t="s">
        <v>199</v>
      </c>
    </row>
    <row r="229" spans="1:87" x14ac:dyDescent="0.45">
      <c r="A229" t="s">
        <v>24</v>
      </c>
      <c r="B229" t="s">
        <v>0</v>
      </c>
      <c r="C229" t="s">
        <v>46</v>
      </c>
      <c r="D229" t="s">
        <v>200</v>
      </c>
      <c r="E229" t="s">
        <v>26</v>
      </c>
      <c r="F229">
        <v>17.68574999185569</v>
      </c>
      <c r="K229">
        <v>18.77594997454964</v>
      </c>
      <c r="P229">
        <v>19.645349979790868</v>
      </c>
      <c r="U229">
        <v>20.647350005919311</v>
      </c>
      <c r="Z229">
        <v>21.559500004133781</v>
      </c>
      <c r="AE229">
        <v>22.561350009694809</v>
      </c>
      <c r="AJ229">
        <v>23.769149999881702</v>
      </c>
      <c r="CI229" t="s">
        <v>200</v>
      </c>
    </row>
    <row r="230" spans="1:87" x14ac:dyDescent="0.45">
      <c r="A230" t="s">
        <v>24</v>
      </c>
      <c r="B230" t="s">
        <v>0</v>
      </c>
      <c r="C230" t="s">
        <v>46</v>
      </c>
      <c r="D230" t="s">
        <v>201</v>
      </c>
      <c r="E230" t="s">
        <v>26</v>
      </c>
      <c r="F230">
        <v>6.751604999325945</v>
      </c>
      <c r="K230">
        <v>5.7127350158018899</v>
      </c>
      <c r="P230">
        <v>5.0585848908220328</v>
      </c>
      <c r="U230">
        <v>4.9379400388276622</v>
      </c>
      <c r="Z230">
        <v>4.3119300041366841</v>
      </c>
      <c r="AE230">
        <v>3.7950150130537921</v>
      </c>
      <c r="AJ230">
        <v>2.5168500001797409</v>
      </c>
      <c r="CI230" t="s">
        <v>201</v>
      </c>
    </row>
    <row r="231" spans="1:87" x14ac:dyDescent="0.45">
      <c r="A231" t="s">
        <v>24</v>
      </c>
      <c r="B231" t="s">
        <v>0</v>
      </c>
      <c r="C231" t="s">
        <v>46</v>
      </c>
      <c r="D231" t="s">
        <v>202</v>
      </c>
      <c r="E231" t="s">
        <v>26</v>
      </c>
      <c r="F231">
        <v>0.40039999789158282</v>
      </c>
      <c r="K231">
        <v>0.26102999263732668</v>
      </c>
      <c r="P231">
        <v>3.3439960280062998E-2</v>
      </c>
      <c r="U231">
        <v>0</v>
      </c>
      <c r="Z231">
        <v>9.0772118710447103E-9</v>
      </c>
      <c r="AE231">
        <v>0.39786999974972831</v>
      </c>
      <c r="AJ231">
        <v>0.97096999987599197</v>
      </c>
      <c r="CI231" t="s">
        <v>202</v>
      </c>
    </row>
    <row r="232" spans="1:87" x14ac:dyDescent="0.45">
      <c r="A232" t="s">
        <v>24</v>
      </c>
      <c r="B232" t="s">
        <v>0</v>
      </c>
      <c r="C232" t="s">
        <v>46</v>
      </c>
      <c r="D232" t="s">
        <v>203</v>
      </c>
      <c r="E232" t="s">
        <v>26</v>
      </c>
      <c r="F232">
        <v>3.0567000104013</v>
      </c>
      <c r="K232">
        <v>4.7359999615237456</v>
      </c>
      <c r="P232">
        <v>5.33090044442622</v>
      </c>
      <c r="U232">
        <v>3.5671999932168892</v>
      </c>
      <c r="Z232">
        <v>2.148200032989052</v>
      </c>
      <c r="AE232">
        <v>1.095299971023707</v>
      </c>
      <c r="AJ232">
        <v>1.0537999999807659</v>
      </c>
      <c r="CI232" t="s">
        <v>203</v>
      </c>
    </row>
    <row r="233" spans="1:87" x14ac:dyDescent="0.45">
      <c r="A233" t="s">
        <v>24</v>
      </c>
      <c r="B233" t="s">
        <v>0</v>
      </c>
      <c r="C233" t="s">
        <v>46</v>
      </c>
      <c r="D233" t="s">
        <v>204</v>
      </c>
      <c r="E233" t="s">
        <v>26</v>
      </c>
      <c r="F233">
        <v>8.4795104271506716E-10</v>
      </c>
      <c r="K233">
        <v>0</v>
      </c>
      <c r="P233">
        <v>0</v>
      </c>
      <c r="U233">
        <v>0</v>
      </c>
      <c r="Z233">
        <v>0</v>
      </c>
      <c r="AE233">
        <v>0</v>
      </c>
      <c r="AJ233">
        <v>0</v>
      </c>
      <c r="CI233" t="s">
        <v>204</v>
      </c>
    </row>
    <row r="234" spans="1:87" x14ac:dyDescent="0.45">
      <c r="A234" t="s">
        <v>24</v>
      </c>
      <c r="B234" t="s">
        <v>0</v>
      </c>
      <c r="C234" t="s">
        <v>46</v>
      </c>
      <c r="D234" t="s">
        <v>205</v>
      </c>
      <c r="E234" t="s">
        <v>26</v>
      </c>
      <c r="F234">
        <v>25.45000002331043</v>
      </c>
      <c r="K234">
        <v>27.209899503260459</v>
      </c>
      <c r="P234">
        <v>24.00059869190488</v>
      </c>
      <c r="U234">
        <v>26.485000097542621</v>
      </c>
      <c r="Z234">
        <v>24.924799986383729</v>
      </c>
      <c r="AE234">
        <v>23.502084969115131</v>
      </c>
      <c r="AJ234">
        <v>21.982159999557389</v>
      </c>
      <c r="CI234" t="s">
        <v>205</v>
      </c>
    </row>
    <row r="235" spans="1:87" x14ac:dyDescent="0.45">
      <c r="A235" t="s">
        <v>24</v>
      </c>
      <c r="B235" t="s">
        <v>0</v>
      </c>
      <c r="C235" t="s">
        <v>46</v>
      </c>
      <c r="D235" t="s">
        <v>206</v>
      </c>
      <c r="E235" t="s">
        <v>26</v>
      </c>
      <c r="F235">
        <v>9.3199999244156104E-2</v>
      </c>
      <c r="K235">
        <v>8.2800000502268295E-2</v>
      </c>
      <c r="P235">
        <v>7.9799895850442198E-2</v>
      </c>
      <c r="U235">
        <v>0.62639999963867155</v>
      </c>
      <c r="Z235">
        <v>1.6082000852347851</v>
      </c>
      <c r="AE235">
        <v>3.298199957969175</v>
      </c>
      <c r="AJ235">
        <v>6.1939999994359516</v>
      </c>
      <c r="CI235" t="s">
        <v>206</v>
      </c>
    </row>
    <row r="236" spans="1:87" x14ac:dyDescent="0.45">
      <c r="A236" t="s">
        <v>24</v>
      </c>
      <c r="B236" t="s">
        <v>0</v>
      </c>
      <c r="C236" t="s">
        <v>46</v>
      </c>
      <c r="D236" t="s">
        <v>207</v>
      </c>
      <c r="E236" t="s">
        <v>26</v>
      </c>
      <c r="F236">
        <v>7.7437789514078759E-9</v>
      </c>
      <c r="K236">
        <v>0</v>
      </c>
      <c r="P236">
        <v>0</v>
      </c>
      <c r="U236">
        <v>0</v>
      </c>
      <c r="Z236">
        <v>3.6272467696107917E-8</v>
      </c>
      <c r="AE236">
        <v>0.79348499881559764</v>
      </c>
      <c r="AJ236">
        <v>1.637159999802821</v>
      </c>
      <c r="CI236" t="s">
        <v>207</v>
      </c>
    </row>
    <row r="237" spans="1:87" x14ac:dyDescent="0.45">
      <c r="A237" t="s">
        <v>24</v>
      </c>
      <c r="B237" t="s">
        <v>0</v>
      </c>
      <c r="C237" t="s">
        <v>46</v>
      </c>
      <c r="D237" t="s">
        <v>208</v>
      </c>
      <c r="E237" t="s">
        <v>26</v>
      </c>
      <c r="F237">
        <v>25.356800016322492</v>
      </c>
      <c r="K237">
        <v>27.127099502758199</v>
      </c>
      <c r="P237">
        <v>23.920798796054441</v>
      </c>
      <c r="U237">
        <v>25.858600097903949</v>
      </c>
      <c r="Z237">
        <v>23.31659986487648</v>
      </c>
      <c r="AE237">
        <v>19.41040001233036</v>
      </c>
      <c r="AJ237">
        <v>14.15100000031862</v>
      </c>
      <c r="CI237" t="s">
        <v>208</v>
      </c>
    </row>
    <row r="238" spans="1:87" x14ac:dyDescent="0.45">
      <c r="A238" t="s">
        <v>24</v>
      </c>
      <c r="B238" t="s">
        <v>6</v>
      </c>
      <c r="C238" t="s">
        <v>46</v>
      </c>
      <c r="D238" t="s">
        <v>59</v>
      </c>
      <c r="E238" t="s">
        <v>48</v>
      </c>
      <c r="F238">
        <v>0</v>
      </c>
      <c r="K238">
        <v>0</v>
      </c>
      <c r="P238">
        <v>0</v>
      </c>
      <c r="U238">
        <v>3.8679000000000001</v>
      </c>
      <c r="Z238">
        <v>10.347300000000001</v>
      </c>
      <c r="AE238">
        <v>21.081199999999999</v>
      </c>
      <c r="AJ238">
        <v>39.910299999999999</v>
      </c>
      <c r="CI238" t="s">
        <v>59</v>
      </c>
    </row>
    <row r="239" spans="1:87" x14ac:dyDescent="0.45">
      <c r="A239" t="s">
        <v>24</v>
      </c>
      <c r="B239" t="s">
        <v>6</v>
      </c>
      <c r="C239" t="s">
        <v>46</v>
      </c>
      <c r="D239" t="s">
        <v>60</v>
      </c>
      <c r="E239" t="s">
        <v>48</v>
      </c>
      <c r="F239">
        <v>0</v>
      </c>
      <c r="K239">
        <v>0</v>
      </c>
      <c r="P239">
        <v>0</v>
      </c>
      <c r="U239">
        <v>8.7667000000000002</v>
      </c>
      <c r="Z239">
        <v>31.881599999999999</v>
      </c>
      <c r="AE239">
        <v>87.2136</v>
      </c>
      <c r="AJ239">
        <v>155.50069999999999</v>
      </c>
      <c r="CI239" t="s">
        <v>60</v>
      </c>
    </row>
    <row r="240" spans="1:87" x14ac:dyDescent="0.45">
      <c r="A240" t="s">
        <v>24</v>
      </c>
      <c r="B240" t="s">
        <v>6</v>
      </c>
      <c r="C240" t="s">
        <v>46</v>
      </c>
      <c r="D240" t="s">
        <v>61</v>
      </c>
      <c r="E240" t="s">
        <v>48</v>
      </c>
      <c r="F240">
        <v>0</v>
      </c>
      <c r="K240">
        <v>0</v>
      </c>
      <c r="P240">
        <v>0</v>
      </c>
      <c r="U240">
        <v>0</v>
      </c>
      <c r="Z240">
        <v>0</v>
      </c>
      <c r="AE240">
        <v>0</v>
      </c>
      <c r="AJ240">
        <v>11.46</v>
      </c>
      <c r="CI240" t="s">
        <v>61</v>
      </c>
    </row>
    <row r="241" spans="1:87" x14ac:dyDescent="0.45">
      <c r="A241" t="s">
        <v>24</v>
      </c>
      <c r="B241" t="s">
        <v>6</v>
      </c>
      <c r="C241" t="s">
        <v>46</v>
      </c>
      <c r="D241" t="s">
        <v>62</v>
      </c>
      <c r="E241" t="s">
        <v>48</v>
      </c>
      <c r="F241">
        <v>163.8278</v>
      </c>
      <c r="K241">
        <v>150.2328</v>
      </c>
      <c r="P241">
        <v>135.9659</v>
      </c>
      <c r="U241">
        <v>121.36669999999999</v>
      </c>
      <c r="Z241">
        <v>105.6549</v>
      </c>
      <c r="AE241">
        <v>89.635499999999993</v>
      </c>
      <c r="AJ241">
        <v>74.683599999999998</v>
      </c>
      <c r="CI241" t="s">
        <v>62</v>
      </c>
    </row>
    <row r="242" spans="1:87" x14ac:dyDescent="0.45">
      <c r="A242" t="s">
        <v>24</v>
      </c>
      <c r="B242" t="s">
        <v>6</v>
      </c>
      <c r="C242" t="s">
        <v>46</v>
      </c>
      <c r="D242" t="s">
        <v>63</v>
      </c>
      <c r="E242" t="s">
        <v>48</v>
      </c>
      <c r="F242">
        <v>-1429.8635999999999</v>
      </c>
      <c r="K242">
        <v>-1508.6477</v>
      </c>
      <c r="P242">
        <v>-1643.7958000000001</v>
      </c>
      <c r="U242">
        <v>-1698.6518000000001</v>
      </c>
      <c r="Z242">
        <v>-1757.6858999999999</v>
      </c>
      <c r="AE242">
        <v>-1786.5383999999999</v>
      </c>
      <c r="AJ242">
        <v>-1814.6090999999999</v>
      </c>
      <c r="CI242" t="s">
        <v>63</v>
      </c>
    </row>
    <row r="243" spans="1:87" x14ac:dyDescent="0.45">
      <c r="A243" t="s">
        <v>24</v>
      </c>
      <c r="B243" t="s">
        <v>6</v>
      </c>
      <c r="C243" t="s">
        <v>46</v>
      </c>
      <c r="D243" t="s">
        <v>64</v>
      </c>
      <c r="E243" t="s">
        <v>48</v>
      </c>
      <c r="F243">
        <v>-534.70759999999996</v>
      </c>
      <c r="K243">
        <v>-614.91369999999995</v>
      </c>
      <c r="P243">
        <v>-695.11980000000005</v>
      </c>
      <c r="U243">
        <v>-721.85519999999997</v>
      </c>
      <c r="Z243">
        <v>-748.59059999999999</v>
      </c>
      <c r="AE243">
        <v>-748.59059999999999</v>
      </c>
      <c r="AJ243">
        <v>-748.59059999999999</v>
      </c>
      <c r="CI243" t="s">
        <v>64</v>
      </c>
    </row>
    <row r="244" spans="1:87" x14ac:dyDescent="0.45">
      <c r="A244" t="s">
        <v>24</v>
      </c>
      <c r="B244" t="s">
        <v>6</v>
      </c>
      <c r="C244" t="s">
        <v>46</v>
      </c>
      <c r="D244" t="s">
        <v>65</v>
      </c>
      <c r="E244" t="s">
        <v>66</v>
      </c>
      <c r="F244">
        <v>4729.6480000000001</v>
      </c>
      <c r="K244">
        <v>4977.9705999999996</v>
      </c>
      <c r="P244">
        <v>4488.3577999999998</v>
      </c>
      <c r="U244">
        <v>3741.7328000000002</v>
      </c>
      <c r="Z244">
        <v>3112.3896</v>
      </c>
      <c r="AE244">
        <v>2456.0699</v>
      </c>
      <c r="AJ244">
        <v>1758.8122000000001</v>
      </c>
      <c r="CI244" t="s">
        <v>65</v>
      </c>
    </row>
    <row r="245" spans="1:87" x14ac:dyDescent="0.45">
      <c r="A245" t="s">
        <v>24</v>
      </c>
      <c r="B245" t="s">
        <v>6</v>
      </c>
      <c r="C245" t="s">
        <v>46</v>
      </c>
      <c r="D245" t="s">
        <v>67</v>
      </c>
      <c r="E245" t="s">
        <v>66</v>
      </c>
      <c r="F245">
        <v>1230.5565999999999</v>
      </c>
      <c r="K245">
        <v>1185.8623</v>
      </c>
      <c r="P245">
        <v>1058.6960999999999</v>
      </c>
      <c r="U245">
        <v>903.24030000000005</v>
      </c>
      <c r="Z245">
        <v>930.75239999999997</v>
      </c>
      <c r="AE245">
        <v>880.68610000000001</v>
      </c>
      <c r="AJ245">
        <v>731.46270000000004</v>
      </c>
      <c r="CI245" t="s">
        <v>67</v>
      </c>
    </row>
    <row r="246" spans="1:87" x14ac:dyDescent="0.45">
      <c r="A246" t="s">
        <v>24</v>
      </c>
      <c r="B246" t="s">
        <v>6</v>
      </c>
      <c r="C246" t="s">
        <v>46</v>
      </c>
      <c r="D246" t="s">
        <v>68</v>
      </c>
      <c r="E246" t="s">
        <v>26</v>
      </c>
      <c r="F246">
        <v>64.520099999999999</v>
      </c>
      <c r="K246">
        <v>69.735600000000005</v>
      </c>
      <c r="P246">
        <v>68.869900000000001</v>
      </c>
      <c r="U246">
        <v>71.247900000000001</v>
      </c>
      <c r="Z246">
        <v>66.585899999999995</v>
      </c>
      <c r="AE246">
        <v>61.443199999999997</v>
      </c>
      <c r="AJ246">
        <v>57.4803</v>
      </c>
      <c r="CI246" t="s">
        <v>68</v>
      </c>
    </row>
    <row r="247" spans="1:87" x14ac:dyDescent="0.45">
      <c r="A247" t="s">
        <v>24</v>
      </c>
      <c r="B247" t="s">
        <v>6</v>
      </c>
      <c r="C247" t="s">
        <v>46</v>
      </c>
      <c r="D247" t="s">
        <v>69</v>
      </c>
      <c r="E247" t="s">
        <v>26</v>
      </c>
      <c r="F247">
        <v>13.880599999999999</v>
      </c>
      <c r="K247">
        <v>14.747400000000001</v>
      </c>
      <c r="P247">
        <v>15.408799999999999</v>
      </c>
      <c r="U247">
        <v>16.244199999999999</v>
      </c>
      <c r="Z247">
        <v>17.0991</v>
      </c>
      <c r="AE247">
        <v>18.2822</v>
      </c>
      <c r="AJ247">
        <v>20.217199999999998</v>
      </c>
      <c r="CI247" t="s">
        <v>69</v>
      </c>
    </row>
    <row r="248" spans="1:87" x14ac:dyDescent="0.45">
      <c r="A248" t="s">
        <v>24</v>
      </c>
      <c r="B248" t="s">
        <v>6</v>
      </c>
      <c r="C248" t="s">
        <v>46</v>
      </c>
      <c r="D248" t="s">
        <v>70</v>
      </c>
      <c r="E248" t="s">
        <v>26</v>
      </c>
      <c r="F248">
        <v>12.7172</v>
      </c>
      <c r="K248">
        <v>10.120100000000001</v>
      </c>
      <c r="P248">
        <v>8.8840000000000003</v>
      </c>
      <c r="U248">
        <v>9.2413000000000007</v>
      </c>
      <c r="Z248">
        <v>9.1135000000000002</v>
      </c>
      <c r="AE248">
        <v>9.7065000000000001</v>
      </c>
      <c r="AJ248">
        <v>10.468299999999999</v>
      </c>
      <c r="CI248" t="s">
        <v>70</v>
      </c>
    </row>
    <row r="249" spans="1:87" x14ac:dyDescent="0.45">
      <c r="A249" t="s">
        <v>24</v>
      </c>
      <c r="B249" t="s">
        <v>6</v>
      </c>
      <c r="C249" t="s">
        <v>46</v>
      </c>
      <c r="D249" t="s">
        <v>71</v>
      </c>
      <c r="E249" t="s">
        <v>26</v>
      </c>
      <c r="F249">
        <v>0.36499999999999999</v>
      </c>
      <c r="K249">
        <v>0.34100000000000003</v>
      </c>
      <c r="P249">
        <v>0.28520000000000001</v>
      </c>
      <c r="U249">
        <v>0.41739999999999999</v>
      </c>
      <c r="Z249">
        <v>0.59109999999999996</v>
      </c>
      <c r="AE249">
        <v>0.78720000000000001</v>
      </c>
      <c r="AJ249">
        <v>0.82199999999999995</v>
      </c>
      <c r="CI249" t="s">
        <v>71</v>
      </c>
    </row>
    <row r="250" spans="1:87" x14ac:dyDescent="0.45">
      <c r="A250" t="s">
        <v>24</v>
      </c>
      <c r="B250" t="s">
        <v>6</v>
      </c>
      <c r="C250" t="s">
        <v>46</v>
      </c>
      <c r="D250" t="s">
        <v>72</v>
      </c>
      <c r="E250" t="s">
        <v>26</v>
      </c>
      <c r="F250">
        <v>0</v>
      </c>
      <c r="K250">
        <v>7.5999999999999998E-2</v>
      </c>
      <c r="P250">
        <v>7.6499999999999999E-2</v>
      </c>
      <c r="U250">
        <v>0.13869999999999999</v>
      </c>
      <c r="Z250">
        <v>0.13500000000000001</v>
      </c>
      <c r="AE250">
        <v>0.13289999999999999</v>
      </c>
      <c r="AJ250">
        <v>0.12989999999999999</v>
      </c>
      <c r="CI250" t="s">
        <v>72</v>
      </c>
    </row>
    <row r="251" spans="1:87" x14ac:dyDescent="0.45">
      <c r="A251" t="s">
        <v>24</v>
      </c>
      <c r="B251" t="s">
        <v>6</v>
      </c>
      <c r="C251" t="s">
        <v>46</v>
      </c>
      <c r="D251" t="s">
        <v>73</v>
      </c>
      <c r="E251" t="s">
        <v>26</v>
      </c>
      <c r="F251">
        <v>14.707100000000001</v>
      </c>
      <c r="K251">
        <v>16.013000000000002</v>
      </c>
      <c r="P251">
        <v>17.606300000000001</v>
      </c>
      <c r="U251">
        <v>17.234300000000001</v>
      </c>
      <c r="Z251">
        <v>15.545299999999999</v>
      </c>
      <c r="AE251">
        <v>13.9337</v>
      </c>
      <c r="AJ251">
        <v>13.268000000000001</v>
      </c>
      <c r="CI251" t="s">
        <v>73</v>
      </c>
    </row>
    <row r="252" spans="1:87" x14ac:dyDescent="0.45">
      <c r="A252" t="s">
        <v>24</v>
      </c>
      <c r="B252" t="s">
        <v>6</v>
      </c>
      <c r="C252" t="s">
        <v>46</v>
      </c>
      <c r="D252" t="s">
        <v>74</v>
      </c>
      <c r="E252" t="s">
        <v>26</v>
      </c>
      <c r="F252">
        <v>6.3238000000000003</v>
      </c>
      <c r="K252">
        <v>4.7343999999999999</v>
      </c>
      <c r="P252">
        <v>4.1367000000000003</v>
      </c>
      <c r="U252">
        <v>4.4852999999999996</v>
      </c>
      <c r="Z252">
        <v>4.3289999999999997</v>
      </c>
      <c r="AE252">
        <v>4.7072000000000003</v>
      </c>
      <c r="AJ252">
        <v>5.1661000000000001</v>
      </c>
      <c r="CI252" t="s">
        <v>74</v>
      </c>
    </row>
    <row r="253" spans="1:87" x14ac:dyDescent="0.45">
      <c r="A253" t="s">
        <v>24</v>
      </c>
      <c r="B253" t="s">
        <v>6</v>
      </c>
      <c r="C253" t="s">
        <v>46</v>
      </c>
      <c r="D253" t="s">
        <v>75</v>
      </c>
      <c r="E253" t="s">
        <v>26</v>
      </c>
      <c r="F253">
        <v>0</v>
      </c>
      <c r="K253">
        <v>0.1027</v>
      </c>
      <c r="P253">
        <v>0.25459999999999999</v>
      </c>
      <c r="U253">
        <v>0.41739999999999999</v>
      </c>
      <c r="Z253">
        <v>0.59109999999999996</v>
      </c>
      <c r="AE253">
        <v>0.78720000000000001</v>
      </c>
      <c r="AJ253">
        <v>0.79090000000000005</v>
      </c>
      <c r="CI253" t="s">
        <v>75</v>
      </c>
    </row>
    <row r="254" spans="1:87" x14ac:dyDescent="0.45">
      <c r="A254" t="s">
        <v>24</v>
      </c>
      <c r="B254" t="s">
        <v>6</v>
      </c>
      <c r="C254" t="s">
        <v>46</v>
      </c>
      <c r="D254" t="s">
        <v>76</v>
      </c>
      <c r="E254" t="s">
        <v>26</v>
      </c>
      <c r="F254">
        <v>0</v>
      </c>
      <c r="K254">
        <v>7.5999999999999998E-2</v>
      </c>
      <c r="P254">
        <v>7.6499999999999999E-2</v>
      </c>
      <c r="U254">
        <v>0.13869999999999999</v>
      </c>
      <c r="Z254">
        <v>0.13500000000000001</v>
      </c>
      <c r="AE254">
        <v>0.13289999999999999</v>
      </c>
      <c r="AJ254">
        <v>0.12989999999999999</v>
      </c>
      <c r="CI254" t="s">
        <v>76</v>
      </c>
    </row>
    <row r="255" spans="1:87" x14ac:dyDescent="0.45">
      <c r="A255" t="s">
        <v>24</v>
      </c>
      <c r="B255" t="s">
        <v>6</v>
      </c>
      <c r="C255" t="s">
        <v>46</v>
      </c>
      <c r="D255" t="s">
        <v>77</v>
      </c>
      <c r="E255" t="s">
        <v>26</v>
      </c>
      <c r="F255">
        <v>4.8094999999999999</v>
      </c>
      <c r="K255">
        <v>7.1486000000000001</v>
      </c>
      <c r="P255">
        <v>9.0030999999999999</v>
      </c>
      <c r="U255">
        <v>8.9577000000000009</v>
      </c>
      <c r="Z255">
        <v>7.7420999999999998</v>
      </c>
      <c r="AE255">
        <v>5.5366999999999997</v>
      </c>
      <c r="AJ255">
        <v>4.2416</v>
      </c>
      <c r="CI255" t="s">
        <v>77</v>
      </c>
    </row>
    <row r="256" spans="1:87" x14ac:dyDescent="0.45">
      <c r="A256" t="s">
        <v>24</v>
      </c>
      <c r="B256" t="s">
        <v>6</v>
      </c>
      <c r="C256" t="s">
        <v>46</v>
      </c>
      <c r="D256" t="s">
        <v>78</v>
      </c>
      <c r="E256" t="s">
        <v>26</v>
      </c>
      <c r="F256">
        <v>0.44550000000000001</v>
      </c>
      <c r="K256">
        <v>0.65620000000000001</v>
      </c>
      <c r="P256">
        <v>1.0036</v>
      </c>
      <c r="U256">
        <v>0.88719999999999999</v>
      </c>
      <c r="Z256">
        <v>0.78859999999999997</v>
      </c>
      <c r="AE256">
        <v>0.57579999999999998</v>
      </c>
      <c r="AJ256">
        <v>0.50019999999999998</v>
      </c>
      <c r="CI256" t="s">
        <v>78</v>
      </c>
    </row>
    <row r="257" spans="1:87" x14ac:dyDescent="0.45">
      <c r="A257" t="s">
        <v>24</v>
      </c>
      <c r="B257" t="s">
        <v>6</v>
      </c>
      <c r="C257" t="s">
        <v>46</v>
      </c>
      <c r="D257" t="s">
        <v>79</v>
      </c>
      <c r="E257" t="s">
        <v>26</v>
      </c>
      <c r="F257">
        <v>4.3784000000000001</v>
      </c>
      <c r="K257">
        <v>6.5125000000000002</v>
      </c>
      <c r="P257">
        <v>8.0200999999999993</v>
      </c>
      <c r="U257">
        <v>8.093</v>
      </c>
      <c r="Z257">
        <v>6.9805999999999999</v>
      </c>
      <c r="AE257">
        <v>4.9880000000000004</v>
      </c>
      <c r="AJ257">
        <v>3.7675999999999998</v>
      </c>
      <c r="CI257" t="s">
        <v>79</v>
      </c>
    </row>
    <row r="258" spans="1:87" x14ac:dyDescent="0.45">
      <c r="A258" t="s">
        <v>24</v>
      </c>
      <c r="B258" t="s">
        <v>6</v>
      </c>
      <c r="C258" t="s">
        <v>46</v>
      </c>
      <c r="D258" t="s">
        <v>80</v>
      </c>
      <c r="E258" t="s">
        <v>26</v>
      </c>
      <c r="F258">
        <v>0.97989999999999999</v>
      </c>
      <c r="K258">
        <v>1.0753999999999999</v>
      </c>
      <c r="P258">
        <v>1.2135</v>
      </c>
      <c r="U258">
        <v>0.98240000000000005</v>
      </c>
      <c r="Z258">
        <v>0.4108</v>
      </c>
      <c r="AE258">
        <v>0.34399999999999997</v>
      </c>
      <c r="AJ258">
        <v>7.8299999999999995E-2</v>
      </c>
      <c r="CI258" t="s">
        <v>80</v>
      </c>
    </row>
    <row r="259" spans="1:87" x14ac:dyDescent="0.45">
      <c r="A259" t="s">
        <v>24</v>
      </c>
      <c r="B259" t="s">
        <v>6</v>
      </c>
      <c r="C259" t="s">
        <v>46</v>
      </c>
      <c r="D259" t="s">
        <v>81</v>
      </c>
      <c r="E259" t="s">
        <v>26</v>
      </c>
      <c r="F259">
        <v>0.21729999999999999</v>
      </c>
      <c r="K259">
        <v>0.21490000000000001</v>
      </c>
      <c r="P259">
        <v>0</v>
      </c>
      <c r="U259">
        <v>0.1338</v>
      </c>
      <c r="Z259">
        <v>0</v>
      </c>
      <c r="AE259">
        <v>0</v>
      </c>
      <c r="AJ259">
        <v>0</v>
      </c>
      <c r="CI259" t="s">
        <v>81</v>
      </c>
    </row>
    <row r="260" spans="1:87" x14ac:dyDescent="0.45">
      <c r="A260" t="s">
        <v>24</v>
      </c>
      <c r="B260" t="s">
        <v>6</v>
      </c>
      <c r="C260" t="s">
        <v>46</v>
      </c>
      <c r="D260" t="s">
        <v>82</v>
      </c>
      <c r="E260" t="s">
        <v>26</v>
      </c>
      <c r="F260">
        <v>0.77810000000000001</v>
      </c>
      <c r="K260">
        <v>0.87639999999999996</v>
      </c>
      <c r="P260">
        <v>1.2292000000000001</v>
      </c>
      <c r="U260">
        <v>0.86419999999999997</v>
      </c>
      <c r="Z260">
        <v>0.42480000000000001</v>
      </c>
      <c r="AE260">
        <v>0.35670000000000002</v>
      </c>
      <c r="AJ260">
        <v>8.6699999999999999E-2</v>
      </c>
      <c r="CI260" t="s">
        <v>82</v>
      </c>
    </row>
    <row r="261" spans="1:87" x14ac:dyDescent="0.45">
      <c r="A261" t="s">
        <v>24</v>
      </c>
      <c r="B261" t="s">
        <v>6</v>
      </c>
      <c r="C261" t="s">
        <v>46</v>
      </c>
      <c r="D261" t="s">
        <v>83</v>
      </c>
      <c r="E261" t="s">
        <v>26</v>
      </c>
      <c r="F261">
        <v>33.233600000000003</v>
      </c>
      <c r="K261">
        <v>39.000399999999999</v>
      </c>
      <c r="P261">
        <v>38.231299999999997</v>
      </c>
      <c r="U261">
        <v>39.390300000000003</v>
      </c>
      <c r="Z261">
        <v>34.573399999999999</v>
      </c>
      <c r="AE261">
        <v>28.2652</v>
      </c>
      <c r="AJ261">
        <v>21.634399999999999</v>
      </c>
      <c r="CI261" t="s">
        <v>83</v>
      </c>
    </row>
    <row r="262" spans="1:87" x14ac:dyDescent="0.45">
      <c r="A262" t="s">
        <v>24</v>
      </c>
      <c r="B262" t="s">
        <v>6</v>
      </c>
      <c r="C262" t="s">
        <v>46</v>
      </c>
      <c r="D262" t="s">
        <v>84</v>
      </c>
      <c r="E262" t="s">
        <v>26</v>
      </c>
      <c r="F262">
        <v>22.088999999999999</v>
      </c>
      <c r="K262">
        <v>23.8645</v>
      </c>
      <c r="P262">
        <v>24.792400000000001</v>
      </c>
      <c r="U262">
        <v>24.473400000000002</v>
      </c>
      <c r="Z262">
        <v>23.8919</v>
      </c>
      <c r="AE262">
        <v>23.116599999999998</v>
      </c>
      <c r="AJ262">
        <v>22.907499999999999</v>
      </c>
      <c r="CI262" t="s">
        <v>84</v>
      </c>
    </row>
    <row r="263" spans="1:87" x14ac:dyDescent="0.45">
      <c r="A263" t="s">
        <v>24</v>
      </c>
      <c r="B263" t="s">
        <v>6</v>
      </c>
      <c r="C263" t="s">
        <v>46</v>
      </c>
      <c r="D263" t="s">
        <v>85</v>
      </c>
      <c r="E263" t="s">
        <v>26</v>
      </c>
      <c r="F263">
        <v>6.3933999999999997</v>
      </c>
      <c r="K263">
        <v>5.3857999999999997</v>
      </c>
      <c r="P263">
        <v>4.7473000000000001</v>
      </c>
      <c r="U263">
        <v>4.7560000000000002</v>
      </c>
      <c r="Z263">
        <v>4.7845000000000004</v>
      </c>
      <c r="AE263">
        <v>4.9992999999999999</v>
      </c>
      <c r="AJ263">
        <v>4.5921000000000003</v>
      </c>
      <c r="CI263" t="s">
        <v>85</v>
      </c>
    </row>
    <row r="264" spans="1:87" x14ac:dyDescent="0.45">
      <c r="A264" t="s">
        <v>24</v>
      </c>
      <c r="B264" t="s">
        <v>6</v>
      </c>
      <c r="C264" t="s">
        <v>46</v>
      </c>
      <c r="D264" t="s">
        <v>86</v>
      </c>
      <c r="E264" t="s">
        <v>26</v>
      </c>
      <c r="F264">
        <v>0.36499999999999999</v>
      </c>
      <c r="K264">
        <v>0.23830000000000001</v>
      </c>
      <c r="P264">
        <v>3.0599999999999999E-2</v>
      </c>
      <c r="U264">
        <v>0</v>
      </c>
      <c r="Z264">
        <v>0</v>
      </c>
      <c r="AE264">
        <v>0</v>
      </c>
      <c r="AJ264">
        <v>3.1E-2</v>
      </c>
      <c r="CI264" t="s">
        <v>86</v>
      </c>
    </row>
    <row r="265" spans="1:87" x14ac:dyDescent="0.45">
      <c r="A265" t="s">
        <v>24</v>
      </c>
      <c r="B265" t="s">
        <v>6</v>
      </c>
      <c r="C265" t="s">
        <v>46</v>
      </c>
      <c r="D265" t="s">
        <v>87</v>
      </c>
      <c r="E265" t="s">
        <v>26</v>
      </c>
      <c r="F265">
        <v>0</v>
      </c>
      <c r="K265">
        <v>0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87</v>
      </c>
    </row>
    <row r="266" spans="1:87" x14ac:dyDescent="0.45">
      <c r="A266" t="s">
        <v>24</v>
      </c>
      <c r="B266" t="s">
        <v>6</v>
      </c>
      <c r="C266" t="s">
        <v>46</v>
      </c>
      <c r="D266" t="s">
        <v>88</v>
      </c>
      <c r="E266" t="s">
        <v>26</v>
      </c>
      <c r="F266">
        <v>3.0708000000000002</v>
      </c>
      <c r="K266">
        <v>4.758</v>
      </c>
      <c r="P266">
        <v>5.3648999999999996</v>
      </c>
      <c r="U266">
        <v>3.597</v>
      </c>
      <c r="Z266">
        <v>2.0836999999999999</v>
      </c>
      <c r="AE266">
        <v>1.0854999999999999</v>
      </c>
      <c r="AJ266">
        <v>1.0521</v>
      </c>
      <c r="CI266" t="s">
        <v>88</v>
      </c>
    </row>
    <row r="267" spans="1:87" x14ac:dyDescent="0.45">
      <c r="A267" t="s">
        <v>24</v>
      </c>
      <c r="B267" t="s">
        <v>6</v>
      </c>
      <c r="C267" t="s">
        <v>46</v>
      </c>
      <c r="D267" t="s">
        <v>89</v>
      </c>
      <c r="E267" t="s">
        <v>26</v>
      </c>
      <c r="F267">
        <v>1.34E-2</v>
      </c>
      <c r="K267">
        <v>0.31119999999999998</v>
      </c>
      <c r="P267">
        <v>5.4699999999999999E-2</v>
      </c>
      <c r="U267">
        <v>3.9899999999999998E-2</v>
      </c>
      <c r="Z267">
        <v>2.7900000000000001E-2</v>
      </c>
      <c r="AE267">
        <v>1.7100000000000001E-2</v>
      </c>
      <c r="AJ267">
        <v>2.2100000000000002E-2</v>
      </c>
      <c r="CI267" t="s">
        <v>89</v>
      </c>
    </row>
    <row r="268" spans="1:87" x14ac:dyDescent="0.45">
      <c r="A268" t="s">
        <v>24</v>
      </c>
      <c r="B268" t="s">
        <v>6</v>
      </c>
      <c r="C268" t="s">
        <v>46</v>
      </c>
      <c r="D268" t="s">
        <v>90</v>
      </c>
      <c r="E268" t="s">
        <v>26</v>
      </c>
      <c r="F268">
        <v>3.1518999999999999</v>
      </c>
      <c r="K268">
        <v>4.5468999999999999</v>
      </c>
      <c r="P268">
        <v>5.3970000000000002</v>
      </c>
      <c r="U268">
        <v>3.6095999999999999</v>
      </c>
      <c r="Z268">
        <v>2.0848</v>
      </c>
      <c r="AE268">
        <v>1.0882000000000001</v>
      </c>
      <c r="AJ268">
        <v>1.0456000000000001</v>
      </c>
      <c r="CI268" t="s">
        <v>90</v>
      </c>
    </row>
    <row r="269" spans="1:87" x14ac:dyDescent="0.45">
      <c r="A269" t="s">
        <v>24</v>
      </c>
      <c r="B269" t="s">
        <v>6</v>
      </c>
      <c r="C269" t="s">
        <v>46</v>
      </c>
      <c r="D269" t="s">
        <v>91</v>
      </c>
      <c r="E269" t="s">
        <v>26</v>
      </c>
      <c r="F269">
        <v>0</v>
      </c>
      <c r="K269">
        <v>0</v>
      </c>
      <c r="P269">
        <v>0</v>
      </c>
      <c r="U269">
        <v>0</v>
      </c>
      <c r="Z269">
        <v>0</v>
      </c>
      <c r="AE269">
        <v>0</v>
      </c>
      <c r="AJ269">
        <v>0</v>
      </c>
      <c r="CI269" t="s">
        <v>91</v>
      </c>
    </row>
    <row r="270" spans="1:87" x14ac:dyDescent="0.45">
      <c r="A270" t="s">
        <v>24</v>
      </c>
      <c r="B270" t="s">
        <v>6</v>
      </c>
      <c r="C270" t="s">
        <v>46</v>
      </c>
      <c r="D270" t="s">
        <v>92</v>
      </c>
      <c r="E270" t="s">
        <v>26</v>
      </c>
      <c r="F270">
        <v>0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92</v>
      </c>
    </row>
    <row r="271" spans="1:87" x14ac:dyDescent="0.45">
      <c r="A271" t="s">
        <v>24</v>
      </c>
      <c r="B271" t="s">
        <v>6</v>
      </c>
      <c r="C271" t="s">
        <v>46</v>
      </c>
      <c r="D271" t="s">
        <v>93</v>
      </c>
      <c r="E271" t="s">
        <v>26</v>
      </c>
      <c r="F271">
        <v>0</v>
      </c>
      <c r="K271">
        <v>0</v>
      </c>
      <c r="P271">
        <v>0</v>
      </c>
      <c r="U271">
        <v>0</v>
      </c>
      <c r="Z271">
        <v>0</v>
      </c>
      <c r="AE271">
        <v>0</v>
      </c>
      <c r="AJ271">
        <v>0</v>
      </c>
      <c r="CI271" t="s">
        <v>93</v>
      </c>
    </row>
    <row r="272" spans="1:87" x14ac:dyDescent="0.45">
      <c r="A272" t="s">
        <v>24</v>
      </c>
      <c r="B272" t="s">
        <v>6</v>
      </c>
      <c r="C272" t="s">
        <v>46</v>
      </c>
      <c r="D272" t="s">
        <v>94</v>
      </c>
      <c r="E272" t="s">
        <v>26</v>
      </c>
      <c r="F272">
        <v>0.97989999999999999</v>
      </c>
      <c r="K272">
        <v>1.0753999999999999</v>
      </c>
      <c r="P272">
        <v>1.2135</v>
      </c>
      <c r="U272">
        <v>0.98240000000000005</v>
      </c>
      <c r="Z272">
        <v>0.4108</v>
      </c>
      <c r="AE272">
        <v>0.34399999999999997</v>
      </c>
      <c r="AJ272">
        <v>7.8299999999999995E-2</v>
      </c>
      <c r="CI272" t="s">
        <v>94</v>
      </c>
    </row>
    <row r="273" spans="1:87" x14ac:dyDescent="0.45">
      <c r="A273" t="s">
        <v>24</v>
      </c>
      <c r="B273" t="s">
        <v>6</v>
      </c>
      <c r="C273" t="s">
        <v>46</v>
      </c>
      <c r="D273" t="s">
        <v>95</v>
      </c>
      <c r="E273" t="s">
        <v>26</v>
      </c>
      <c r="F273">
        <v>25.292000000000002</v>
      </c>
      <c r="K273">
        <v>26.979099999999999</v>
      </c>
      <c r="P273">
        <v>23.767399999999999</v>
      </c>
      <c r="U273">
        <v>26.945900000000002</v>
      </c>
      <c r="Z273">
        <v>25.322800000000001</v>
      </c>
      <c r="AE273">
        <v>23.076899999999998</v>
      </c>
      <c r="AJ273">
        <v>19.979600000000001</v>
      </c>
      <c r="CI273" t="s">
        <v>95</v>
      </c>
    </row>
    <row r="274" spans="1:87" x14ac:dyDescent="0.45">
      <c r="A274" t="s">
        <v>24</v>
      </c>
      <c r="B274" t="s">
        <v>6</v>
      </c>
      <c r="C274" t="s">
        <v>46</v>
      </c>
      <c r="D274" t="s">
        <v>96</v>
      </c>
      <c r="E274" t="s">
        <v>26</v>
      </c>
      <c r="F274">
        <v>0</v>
      </c>
      <c r="K274">
        <v>0</v>
      </c>
      <c r="P274">
        <v>0</v>
      </c>
      <c r="U274">
        <v>0</v>
      </c>
      <c r="Z274">
        <v>0</v>
      </c>
      <c r="AE274">
        <v>0</v>
      </c>
      <c r="AJ274">
        <v>0.71009999999999995</v>
      </c>
      <c r="CI274" t="s">
        <v>96</v>
      </c>
    </row>
    <row r="275" spans="1:87" x14ac:dyDescent="0.45">
      <c r="A275" t="s">
        <v>24</v>
      </c>
      <c r="B275" t="s">
        <v>6</v>
      </c>
      <c r="C275" t="s">
        <v>46</v>
      </c>
      <c r="D275" t="s">
        <v>97</v>
      </c>
      <c r="E275" t="s">
        <v>26</v>
      </c>
      <c r="F275">
        <v>25.353300000000001</v>
      </c>
      <c r="K275">
        <v>27.093800000000002</v>
      </c>
      <c r="P275">
        <v>23.863299999999999</v>
      </c>
      <c r="U275">
        <v>26.8355</v>
      </c>
      <c r="Z275">
        <v>24.747499999999999</v>
      </c>
      <c r="AE275">
        <v>21.643000000000001</v>
      </c>
      <c r="AJ275">
        <v>16.340699999999998</v>
      </c>
      <c r="CI275" t="s">
        <v>97</v>
      </c>
    </row>
    <row r="276" spans="1:87" x14ac:dyDescent="0.45">
      <c r="A276" t="s">
        <v>24</v>
      </c>
      <c r="B276" t="s">
        <v>6</v>
      </c>
      <c r="C276" t="s">
        <v>46</v>
      </c>
      <c r="D276" t="s">
        <v>98</v>
      </c>
      <c r="E276" t="s">
        <v>26</v>
      </c>
      <c r="F276">
        <v>23.072500000000002</v>
      </c>
      <c r="K276">
        <v>24.6296</v>
      </c>
      <c r="P276">
        <v>21.525400000000001</v>
      </c>
      <c r="U276">
        <v>24.493099999999998</v>
      </c>
      <c r="Z276">
        <v>22.7805</v>
      </c>
      <c r="AE276">
        <v>20.192399999999999</v>
      </c>
      <c r="AJ276">
        <v>15.6031</v>
      </c>
      <c r="CI276" t="s">
        <v>98</v>
      </c>
    </row>
    <row r="277" spans="1:87" x14ac:dyDescent="0.45">
      <c r="A277" t="s">
        <v>24</v>
      </c>
      <c r="B277" t="s">
        <v>6</v>
      </c>
      <c r="C277" t="s">
        <v>46</v>
      </c>
      <c r="D277" t="s">
        <v>99</v>
      </c>
      <c r="E277" t="s">
        <v>100</v>
      </c>
      <c r="F277">
        <v>17759.189699999999</v>
      </c>
      <c r="K277">
        <v>21028.338899999999</v>
      </c>
      <c r="P277">
        <v>22997.961500000001</v>
      </c>
      <c r="U277">
        <v>24780.872299999999</v>
      </c>
      <c r="Z277">
        <v>26426.736799999999</v>
      </c>
      <c r="AE277">
        <v>27982.406599999998</v>
      </c>
      <c r="AJ277">
        <v>29426.882900000001</v>
      </c>
      <c r="CI277" t="s">
        <v>99</v>
      </c>
    </row>
    <row r="278" spans="1:87" x14ac:dyDescent="0.45">
      <c r="A278" t="s">
        <v>24</v>
      </c>
      <c r="B278" t="s">
        <v>6</v>
      </c>
      <c r="C278" t="s">
        <v>46</v>
      </c>
      <c r="D278" t="s">
        <v>101</v>
      </c>
      <c r="E278" t="s">
        <v>102</v>
      </c>
      <c r="F278">
        <v>335.11259999999999</v>
      </c>
      <c r="K278">
        <v>347.33879999999999</v>
      </c>
      <c r="P278">
        <v>360.10340000000002</v>
      </c>
      <c r="U278">
        <v>371.43430000000001</v>
      </c>
      <c r="Z278">
        <v>382.77010000000001</v>
      </c>
      <c r="AE278">
        <v>392.61290000000002</v>
      </c>
      <c r="AJ278">
        <v>402.44220000000001</v>
      </c>
      <c r="CI278" t="s">
        <v>101</v>
      </c>
    </row>
    <row r="279" spans="1:87" x14ac:dyDescent="0.45">
      <c r="A279" t="s">
        <v>24</v>
      </c>
      <c r="B279" t="s">
        <v>6</v>
      </c>
      <c r="C279" t="s">
        <v>46</v>
      </c>
      <c r="D279" t="s">
        <v>103</v>
      </c>
      <c r="E279" t="s">
        <v>104</v>
      </c>
      <c r="F279">
        <v>0.99990000000000001</v>
      </c>
      <c r="K279">
        <v>0.92910000000000004</v>
      </c>
      <c r="P279">
        <v>0.85780000000000001</v>
      </c>
      <c r="U279">
        <v>0.86119999999999997</v>
      </c>
      <c r="Z279">
        <v>0.86950000000000005</v>
      </c>
      <c r="AE279">
        <v>0.88319999999999999</v>
      </c>
      <c r="AJ279">
        <v>0.89849999999999997</v>
      </c>
      <c r="CI279" t="s">
        <v>103</v>
      </c>
    </row>
    <row r="280" spans="1:87" x14ac:dyDescent="0.45">
      <c r="A280" t="s">
        <v>24</v>
      </c>
      <c r="B280" t="s">
        <v>6</v>
      </c>
      <c r="C280" t="s">
        <v>46</v>
      </c>
      <c r="D280" t="s">
        <v>105</v>
      </c>
      <c r="E280" t="s">
        <v>104</v>
      </c>
      <c r="F280">
        <v>1.0125</v>
      </c>
      <c r="K280">
        <v>0.94010000000000005</v>
      </c>
      <c r="P280">
        <v>0.86709999999999998</v>
      </c>
      <c r="U280">
        <v>0.83379999999999999</v>
      </c>
      <c r="Z280">
        <v>0.80469999999999997</v>
      </c>
      <c r="AE280">
        <v>0.80469999999999997</v>
      </c>
      <c r="AJ280">
        <v>0.80469999999999997</v>
      </c>
      <c r="CI280" t="s">
        <v>105</v>
      </c>
    </row>
    <row r="281" spans="1:87" x14ac:dyDescent="0.45">
      <c r="A281" t="s">
        <v>24</v>
      </c>
      <c r="B281" t="s">
        <v>6</v>
      </c>
      <c r="C281" t="s">
        <v>46</v>
      </c>
      <c r="D281" t="s">
        <v>106</v>
      </c>
      <c r="E281" t="s">
        <v>107</v>
      </c>
      <c r="F281">
        <v>0</v>
      </c>
      <c r="K281">
        <v>6.6807999999999996</v>
      </c>
      <c r="P281">
        <v>0</v>
      </c>
      <c r="U281">
        <v>24.138300000000001</v>
      </c>
      <c r="Z281">
        <v>28.254999999999999</v>
      </c>
      <c r="AE281">
        <v>88.407700000000006</v>
      </c>
      <c r="AJ281">
        <v>144.5402</v>
      </c>
      <c r="CI281" t="s">
        <v>106</v>
      </c>
    </row>
    <row r="282" spans="1:87" x14ac:dyDescent="0.45">
      <c r="A282" t="s">
        <v>24</v>
      </c>
      <c r="B282" t="s">
        <v>6</v>
      </c>
      <c r="C282" t="s">
        <v>46</v>
      </c>
      <c r="D282" t="s">
        <v>108</v>
      </c>
      <c r="E282" t="s">
        <v>31</v>
      </c>
      <c r="F282">
        <v>6.4366000000000003</v>
      </c>
      <c r="K282">
        <v>7.2807000000000004</v>
      </c>
      <c r="P282">
        <v>7.7172999999999998</v>
      </c>
      <c r="U282">
        <v>10.6835</v>
      </c>
      <c r="Z282">
        <v>11.6821</v>
      </c>
      <c r="AE282">
        <v>15.425599999999999</v>
      </c>
      <c r="AJ282">
        <v>20.4148</v>
      </c>
      <c r="CI282" t="s">
        <v>108</v>
      </c>
    </row>
    <row r="283" spans="1:87" x14ac:dyDescent="0.45">
      <c r="A283" t="s">
        <v>24</v>
      </c>
      <c r="B283" t="s">
        <v>6</v>
      </c>
      <c r="C283" t="s">
        <v>46</v>
      </c>
      <c r="D283" t="s">
        <v>109</v>
      </c>
      <c r="E283" t="s">
        <v>31</v>
      </c>
      <c r="F283">
        <v>13.0496</v>
      </c>
      <c r="K283">
        <v>9.4708000000000006</v>
      </c>
      <c r="P283">
        <v>7.5671999999999997</v>
      </c>
      <c r="U283">
        <v>11.9877</v>
      </c>
      <c r="Z283">
        <v>11.694000000000001</v>
      </c>
      <c r="AE283">
        <v>14.3626</v>
      </c>
      <c r="AJ283">
        <v>17.1555</v>
      </c>
      <c r="CI283" t="s">
        <v>109</v>
      </c>
    </row>
    <row r="284" spans="1:87" x14ac:dyDescent="0.45">
      <c r="A284" t="s">
        <v>24</v>
      </c>
      <c r="B284" t="s">
        <v>6</v>
      </c>
      <c r="C284" t="s">
        <v>46</v>
      </c>
      <c r="D284" t="s">
        <v>110</v>
      </c>
      <c r="E284" t="s">
        <v>31</v>
      </c>
      <c r="F284">
        <v>0</v>
      </c>
      <c r="K284">
        <v>0</v>
      </c>
      <c r="P284">
        <v>0</v>
      </c>
      <c r="U284">
        <v>0</v>
      </c>
      <c r="Z284">
        <v>0</v>
      </c>
      <c r="AE284">
        <v>0</v>
      </c>
      <c r="AJ284">
        <v>0</v>
      </c>
      <c r="CI284" t="s">
        <v>110</v>
      </c>
    </row>
    <row r="285" spans="1:87" x14ac:dyDescent="0.45">
      <c r="A285" t="s">
        <v>24</v>
      </c>
      <c r="B285" t="s">
        <v>6</v>
      </c>
      <c r="C285" t="s">
        <v>46</v>
      </c>
      <c r="D285" t="s">
        <v>111</v>
      </c>
      <c r="E285" t="s">
        <v>31</v>
      </c>
      <c r="F285">
        <v>49.3825</v>
      </c>
      <c r="K285">
        <v>5.5709</v>
      </c>
      <c r="P285">
        <v>33.339799999999997</v>
      </c>
      <c r="U285">
        <v>21.5871</v>
      </c>
      <c r="Z285">
        <v>21.847200000000001</v>
      </c>
      <c r="AE285">
        <v>37.6068</v>
      </c>
      <c r="AJ285">
        <v>33.3245</v>
      </c>
      <c r="CI285" t="s">
        <v>111</v>
      </c>
    </row>
    <row r="286" spans="1:87" x14ac:dyDescent="0.45">
      <c r="A286" t="s">
        <v>24</v>
      </c>
      <c r="B286" t="s">
        <v>6</v>
      </c>
      <c r="C286" t="s">
        <v>46</v>
      </c>
      <c r="D286" t="s">
        <v>112</v>
      </c>
      <c r="E286" t="s">
        <v>26</v>
      </c>
      <c r="F286">
        <v>81.390199999999993</v>
      </c>
      <c r="K286">
        <v>86.503500000000003</v>
      </c>
      <c r="P286">
        <v>85.046199999999999</v>
      </c>
      <c r="U286">
        <v>83.311800000000005</v>
      </c>
      <c r="Z286">
        <v>78.092299999999994</v>
      </c>
      <c r="AE286">
        <v>73.989800000000002</v>
      </c>
      <c r="AJ286">
        <v>69.643500000000003</v>
      </c>
      <c r="CI286" t="s">
        <v>112</v>
      </c>
    </row>
    <row r="287" spans="1:87" x14ac:dyDescent="0.45">
      <c r="A287" t="s">
        <v>24</v>
      </c>
      <c r="B287" t="s">
        <v>6</v>
      </c>
      <c r="C287" t="s">
        <v>46</v>
      </c>
      <c r="D287" t="s">
        <v>113</v>
      </c>
      <c r="E287" t="s">
        <v>26</v>
      </c>
      <c r="F287">
        <v>6.8147000000000002</v>
      </c>
      <c r="K287">
        <v>6.8419999999999996</v>
      </c>
      <c r="P287">
        <v>8.0404</v>
      </c>
      <c r="U287">
        <v>6.7145999999999999</v>
      </c>
      <c r="Z287">
        <v>5.9691999999999998</v>
      </c>
      <c r="AE287">
        <v>5.4333999999999998</v>
      </c>
      <c r="AJ287">
        <v>4.8502999999999998</v>
      </c>
      <c r="CI287" t="s">
        <v>113</v>
      </c>
    </row>
    <row r="288" spans="1:87" x14ac:dyDescent="0.45">
      <c r="A288" t="s">
        <v>24</v>
      </c>
      <c r="B288" t="s">
        <v>6</v>
      </c>
      <c r="C288" t="s">
        <v>46</v>
      </c>
      <c r="D288" t="s">
        <v>114</v>
      </c>
      <c r="E288" t="s">
        <v>26</v>
      </c>
      <c r="F288">
        <v>13.4871</v>
      </c>
      <c r="K288">
        <v>14.234500000000001</v>
      </c>
      <c r="P288">
        <v>13.473599999999999</v>
      </c>
      <c r="U288">
        <v>6.3139000000000003</v>
      </c>
      <c r="Z288">
        <v>2.0992999999999999</v>
      </c>
      <c r="AE288">
        <v>0.77839999999999998</v>
      </c>
      <c r="AJ288">
        <v>0.3458</v>
      </c>
      <c r="CI288" t="s">
        <v>114</v>
      </c>
    </row>
    <row r="289" spans="1:87" x14ac:dyDescent="0.45">
      <c r="A289" t="s">
        <v>24</v>
      </c>
      <c r="B289" t="s">
        <v>6</v>
      </c>
      <c r="C289" t="s">
        <v>46</v>
      </c>
      <c r="D289" t="s">
        <v>115</v>
      </c>
      <c r="E289" t="s">
        <v>26</v>
      </c>
      <c r="F289">
        <v>0</v>
      </c>
      <c r="K289">
        <v>0</v>
      </c>
      <c r="P289">
        <v>0</v>
      </c>
      <c r="U289">
        <v>0</v>
      </c>
      <c r="Z289">
        <v>8.6800000000000002E-2</v>
      </c>
      <c r="AE289">
        <v>0.25109999999999999</v>
      </c>
      <c r="AJ289">
        <v>0.24099999999999999</v>
      </c>
      <c r="CI289" t="s">
        <v>115</v>
      </c>
    </row>
    <row r="290" spans="1:87" x14ac:dyDescent="0.45">
      <c r="A290" t="s">
        <v>24</v>
      </c>
      <c r="B290" t="s">
        <v>6</v>
      </c>
      <c r="C290" t="s">
        <v>46</v>
      </c>
      <c r="D290" t="s">
        <v>116</v>
      </c>
      <c r="E290" t="s">
        <v>26</v>
      </c>
      <c r="F290">
        <v>13.4871</v>
      </c>
      <c r="K290">
        <v>14.234500000000001</v>
      </c>
      <c r="P290">
        <v>13.473599999999999</v>
      </c>
      <c r="U290">
        <v>6.3139000000000003</v>
      </c>
      <c r="Z290">
        <v>2.0124</v>
      </c>
      <c r="AE290">
        <v>0.52729999999999999</v>
      </c>
      <c r="AJ290">
        <v>0.1048</v>
      </c>
      <c r="CI290" t="s">
        <v>116</v>
      </c>
    </row>
    <row r="291" spans="1:87" x14ac:dyDescent="0.45">
      <c r="A291" t="s">
        <v>24</v>
      </c>
      <c r="B291" t="s">
        <v>6</v>
      </c>
      <c r="C291" t="s">
        <v>46</v>
      </c>
      <c r="D291" t="s">
        <v>117</v>
      </c>
      <c r="E291" t="s">
        <v>26</v>
      </c>
      <c r="F291">
        <v>67.969800000000006</v>
      </c>
      <c r="K291">
        <v>72.650599999999997</v>
      </c>
      <c r="P291">
        <v>69.717799999999997</v>
      </c>
      <c r="U291">
        <v>65.5077</v>
      </c>
      <c r="Z291">
        <v>59.463999999999999</v>
      </c>
      <c r="AE291">
        <v>53.962499999999999</v>
      </c>
      <c r="AJ291">
        <v>47.017899999999997</v>
      </c>
      <c r="CI291" t="s">
        <v>117</v>
      </c>
    </row>
    <row r="292" spans="1:87" x14ac:dyDescent="0.45">
      <c r="A292" t="s">
        <v>24</v>
      </c>
      <c r="B292" t="s">
        <v>6</v>
      </c>
      <c r="C292" t="s">
        <v>46</v>
      </c>
      <c r="D292" t="s">
        <v>118</v>
      </c>
      <c r="E292" t="s">
        <v>26</v>
      </c>
      <c r="F292">
        <v>0</v>
      </c>
      <c r="K292">
        <v>0</v>
      </c>
      <c r="P292">
        <v>0</v>
      </c>
      <c r="U292">
        <v>0.1487</v>
      </c>
      <c r="Z292">
        <v>0.49959999999999999</v>
      </c>
      <c r="AE292">
        <v>1.4041999999999999</v>
      </c>
      <c r="AJ292">
        <v>2.6261999999999999</v>
      </c>
      <c r="CI292" t="s">
        <v>118</v>
      </c>
    </row>
    <row r="293" spans="1:87" x14ac:dyDescent="0.45">
      <c r="A293" t="s">
        <v>24</v>
      </c>
      <c r="B293" t="s">
        <v>6</v>
      </c>
      <c r="C293" t="s">
        <v>46</v>
      </c>
      <c r="D293" t="s">
        <v>119</v>
      </c>
      <c r="E293" t="s">
        <v>26</v>
      </c>
      <c r="F293">
        <v>67.969800000000006</v>
      </c>
      <c r="K293">
        <v>72.650599999999997</v>
      </c>
      <c r="P293">
        <v>69.717799999999997</v>
      </c>
      <c r="U293">
        <v>65.355699999999999</v>
      </c>
      <c r="Z293">
        <v>58.957299999999996</v>
      </c>
      <c r="AE293">
        <v>52.548299999999998</v>
      </c>
      <c r="AJ293">
        <v>44.3917</v>
      </c>
      <c r="CI293" t="s">
        <v>119</v>
      </c>
    </row>
    <row r="294" spans="1:87" x14ac:dyDescent="0.45">
      <c r="A294" t="s">
        <v>24</v>
      </c>
      <c r="B294" t="s">
        <v>6</v>
      </c>
      <c r="C294" t="s">
        <v>46</v>
      </c>
      <c r="D294" t="s">
        <v>120</v>
      </c>
      <c r="E294" t="s">
        <v>26</v>
      </c>
      <c r="F294">
        <v>23.213899999999999</v>
      </c>
      <c r="K294">
        <v>21.0486</v>
      </c>
      <c r="P294">
        <v>22.139800000000001</v>
      </c>
      <c r="U294">
        <v>24.176200000000001</v>
      </c>
      <c r="Z294">
        <v>26.7546</v>
      </c>
      <c r="AE294">
        <v>27.980699999999999</v>
      </c>
      <c r="AJ294">
        <v>26.927399999999999</v>
      </c>
      <c r="CI294" t="s">
        <v>120</v>
      </c>
    </row>
    <row r="295" spans="1:87" x14ac:dyDescent="0.45">
      <c r="A295" t="s">
        <v>24</v>
      </c>
      <c r="B295" t="s">
        <v>6</v>
      </c>
      <c r="C295" t="s">
        <v>46</v>
      </c>
      <c r="D295" t="s">
        <v>121</v>
      </c>
      <c r="E295" t="s">
        <v>26</v>
      </c>
      <c r="F295">
        <v>0</v>
      </c>
      <c r="K295">
        <v>0</v>
      </c>
      <c r="P295">
        <v>0</v>
      </c>
      <c r="U295">
        <v>0.1487</v>
      </c>
      <c r="Z295">
        <v>0.4128</v>
      </c>
      <c r="AE295">
        <v>1.1531</v>
      </c>
      <c r="AJ295">
        <v>2.3853</v>
      </c>
      <c r="CI295" t="s">
        <v>121</v>
      </c>
    </row>
    <row r="296" spans="1:87" x14ac:dyDescent="0.45">
      <c r="A296" t="s">
        <v>24</v>
      </c>
      <c r="B296" t="s">
        <v>6</v>
      </c>
      <c r="C296" t="s">
        <v>46</v>
      </c>
      <c r="D296" t="s">
        <v>122</v>
      </c>
      <c r="E296" t="s">
        <v>26</v>
      </c>
      <c r="F296">
        <v>23.213899999999999</v>
      </c>
      <c r="K296">
        <v>21.0486</v>
      </c>
      <c r="P296">
        <v>22.139800000000001</v>
      </c>
      <c r="U296">
        <v>24.0275</v>
      </c>
      <c r="Z296">
        <v>26.341799999999999</v>
      </c>
      <c r="AE296">
        <v>26.8276</v>
      </c>
      <c r="AJ296">
        <v>24.542100000000001</v>
      </c>
      <c r="CI296" t="s">
        <v>122</v>
      </c>
    </row>
    <row r="297" spans="1:87" x14ac:dyDescent="0.45">
      <c r="A297" t="s">
        <v>24</v>
      </c>
      <c r="B297" t="s">
        <v>6</v>
      </c>
      <c r="C297" t="s">
        <v>46</v>
      </c>
      <c r="D297" t="s">
        <v>123</v>
      </c>
      <c r="E297" t="s">
        <v>26</v>
      </c>
      <c r="F297">
        <v>8.9700000000000002E-2</v>
      </c>
      <c r="K297">
        <v>7.0599999999999996E-2</v>
      </c>
      <c r="P297">
        <v>5.57E-2</v>
      </c>
      <c r="U297">
        <v>0.1338</v>
      </c>
      <c r="Z297">
        <v>0.22359999999999999</v>
      </c>
      <c r="AE297">
        <v>0.39610000000000001</v>
      </c>
      <c r="AJ297">
        <v>0.63919999999999999</v>
      </c>
      <c r="CI297" t="s">
        <v>123</v>
      </c>
    </row>
    <row r="298" spans="1:87" x14ac:dyDescent="0.45">
      <c r="A298" t="s">
        <v>24</v>
      </c>
      <c r="B298" t="s">
        <v>6</v>
      </c>
      <c r="C298" t="s">
        <v>46</v>
      </c>
      <c r="D298" t="s">
        <v>124</v>
      </c>
      <c r="E298" t="s">
        <v>26</v>
      </c>
      <c r="F298">
        <v>1.1474</v>
      </c>
      <c r="K298">
        <v>1.1393</v>
      </c>
      <c r="P298">
        <v>1.1311</v>
      </c>
      <c r="U298">
        <v>0.97060000000000002</v>
      </c>
      <c r="Z298">
        <v>0.99470000000000003</v>
      </c>
      <c r="AE298">
        <v>1.1028</v>
      </c>
      <c r="AJ298">
        <v>1.1761999999999999</v>
      </c>
      <c r="CI298" t="s">
        <v>124</v>
      </c>
    </row>
    <row r="299" spans="1:87" x14ac:dyDescent="0.45">
      <c r="A299" t="s">
        <v>24</v>
      </c>
      <c r="B299" t="s">
        <v>6</v>
      </c>
      <c r="C299" t="s">
        <v>46</v>
      </c>
      <c r="D299" t="s">
        <v>125</v>
      </c>
      <c r="E299" t="s">
        <v>26</v>
      </c>
      <c r="F299">
        <v>3.0293000000000001</v>
      </c>
      <c r="K299">
        <v>3.0125999999999999</v>
      </c>
      <c r="P299">
        <v>2.8763999999999998</v>
      </c>
      <c r="U299">
        <v>2.5221</v>
      </c>
      <c r="Z299">
        <v>2.5385</v>
      </c>
      <c r="AE299">
        <v>2.4418000000000002</v>
      </c>
      <c r="AJ299">
        <v>2.4681000000000002</v>
      </c>
      <c r="CI299" t="s">
        <v>125</v>
      </c>
    </row>
    <row r="300" spans="1:87" x14ac:dyDescent="0.45">
      <c r="A300" t="s">
        <v>24</v>
      </c>
      <c r="B300" t="s">
        <v>6</v>
      </c>
      <c r="C300" t="s">
        <v>46</v>
      </c>
      <c r="D300" t="s">
        <v>126</v>
      </c>
      <c r="E300" t="s">
        <v>26</v>
      </c>
      <c r="F300">
        <v>31.268699999999999</v>
      </c>
      <c r="K300">
        <v>37.3675</v>
      </c>
      <c r="P300">
        <v>34.104399999999998</v>
      </c>
      <c r="U300">
        <v>35.014299999999999</v>
      </c>
      <c r="Z300">
        <v>30.603000000000002</v>
      </c>
      <c r="AE300">
        <v>25.1935</v>
      </c>
      <c r="AJ300">
        <v>19.744700000000002</v>
      </c>
      <c r="CI300" t="s">
        <v>126</v>
      </c>
    </row>
    <row r="301" spans="1:87" x14ac:dyDescent="0.45">
      <c r="A301" t="s">
        <v>24</v>
      </c>
      <c r="B301" t="s">
        <v>6</v>
      </c>
      <c r="C301" t="s">
        <v>46</v>
      </c>
      <c r="D301" t="s">
        <v>127</v>
      </c>
      <c r="E301" t="s">
        <v>26</v>
      </c>
      <c r="F301">
        <v>31.268699999999999</v>
      </c>
      <c r="K301">
        <v>37.3675</v>
      </c>
      <c r="P301">
        <v>34.104399999999998</v>
      </c>
      <c r="U301">
        <v>35.014299999999999</v>
      </c>
      <c r="Z301">
        <v>30.603000000000002</v>
      </c>
      <c r="AE301">
        <v>25.1935</v>
      </c>
      <c r="AJ301">
        <v>19.744700000000002</v>
      </c>
      <c r="CI301" t="s">
        <v>127</v>
      </c>
    </row>
    <row r="302" spans="1:87" x14ac:dyDescent="0.45">
      <c r="A302" t="s">
        <v>24</v>
      </c>
      <c r="B302" t="s">
        <v>6</v>
      </c>
      <c r="C302" t="s">
        <v>46</v>
      </c>
      <c r="D302" t="s">
        <v>128</v>
      </c>
      <c r="E302" t="s">
        <v>26</v>
      </c>
      <c r="F302">
        <v>0.92730000000000001</v>
      </c>
      <c r="K302">
        <v>1.4173</v>
      </c>
      <c r="P302">
        <v>1.9499</v>
      </c>
      <c r="U302">
        <v>4.5141</v>
      </c>
      <c r="Z302">
        <v>6.0898000000000003</v>
      </c>
      <c r="AE302">
        <v>7.1261999999999999</v>
      </c>
      <c r="AJ302">
        <v>8.4803999999999995</v>
      </c>
      <c r="CI302" t="s">
        <v>128</v>
      </c>
    </row>
    <row r="303" spans="1:87" x14ac:dyDescent="0.45">
      <c r="A303" t="s">
        <v>24</v>
      </c>
      <c r="B303" t="s">
        <v>6</v>
      </c>
      <c r="C303" t="s">
        <v>46</v>
      </c>
      <c r="D303" t="s">
        <v>129</v>
      </c>
      <c r="E303" t="s">
        <v>26</v>
      </c>
      <c r="F303">
        <v>1.4120999999999999</v>
      </c>
      <c r="K303">
        <v>1.3712</v>
      </c>
      <c r="P303">
        <v>1.2749999999999999</v>
      </c>
      <c r="U303">
        <v>2.9521999999999999</v>
      </c>
      <c r="Z303">
        <v>2.8195000000000001</v>
      </c>
      <c r="AE303">
        <v>3.5369000000000002</v>
      </c>
      <c r="AJ303">
        <v>5.0113000000000003</v>
      </c>
      <c r="CI303" t="s">
        <v>129</v>
      </c>
    </row>
    <row r="304" spans="1:87" x14ac:dyDescent="0.45">
      <c r="A304" t="s">
        <v>24</v>
      </c>
      <c r="B304" t="s">
        <v>6</v>
      </c>
      <c r="C304" t="s">
        <v>46</v>
      </c>
      <c r="D304" t="s">
        <v>130</v>
      </c>
      <c r="E304" t="s">
        <v>100</v>
      </c>
      <c r="F304">
        <v>0</v>
      </c>
      <c r="K304">
        <v>34.8767</v>
      </c>
      <c r="P304">
        <v>0</v>
      </c>
      <c r="U304">
        <v>103.2741</v>
      </c>
      <c r="Z304">
        <v>102.7664</v>
      </c>
      <c r="AE304">
        <v>269.4135</v>
      </c>
      <c r="AJ304">
        <v>364.18169999999998</v>
      </c>
      <c r="CI304" t="s">
        <v>130</v>
      </c>
    </row>
    <row r="305" spans="1:87" x14ac:dyDescent="0.45">
      <c r="A305" t="s">
        <v>24</v>
      </c>
      <c r="B305" t="s">
        <v>6</v>
      </c>
      <c r="C305" t="s">
        <v>46</v>
      </c>
      <c r="D305" t="s">
        <v>131</v>
      </c>
      <c r="E305" t="s">
        <v>100</v>
      </c>
      <c r="F305">
        <v>0</v>
      </c>
      <c r="K305">
        <v>2.9481999999999999</v>
      </c>
      <c r="P305">
        <v>0</v>
      </c>
      <c r="U305">
        <v>10.7943</v>
      </c>
      <c r="Z305">
        <v>10.6967</v>
      </c>
      <c r="AE305">
        <v>28.194600000000001</v>
      </c>
      <c r="AJ305">
        <v>42.622799999999998</v>
      </c>
      <c r="CI305" t="s">
        <v>131</v>
      </c>
    </row>
    <row r="306" spans="1:87" x14ac:dyDescent="0.45">
      <c r="A306" t="s">
        <v>24</v>
      </c>
      <c r="B306" t="s">
        <v>6</v>
      </c>
      <c r="C306" t="s">
        <v>46</v>
      </c>
      <c r="D306" t="s">
        <v>132</v>
      </c>
      <c r="E306" t="s">
        <v>100</v>
      </c>
      <c r="F306">
        <v>0</v>
      </c>
      <c r="K306">
        <v>4.3132999999999999</v>
      </c>
      <c r="P306">
        <v>0</v>
      </c>
      <c r="U306">
        <v>13.0778</v>
      </c>
      <c r="Z306">
        <v>12.0533</v>
      </c>
      <c r="AE306">
        <v>32.099499999999999</v>
      </c>
      <c r="AJ306">
        <v>49.311700000000002</v>
      </c>
      <c r="CI306" t="s">
        <v>132</v>
      </c>
    </row>
    <row r="307" spans="1:87" x14ac:dyDescent="0.45">
      <c r="A307" t="s">
        <v>24</v>
      </c>
      <c r="B307" t="s">
        <v>6</v>
      </c>
      <c r="C307" t="s">
        <v>46</v>
      </c>
      <c r="D307" t="s">
        <v>133</v>
      </c>
      <c r="E307" t="s">
        <v>100</v>
      </c>
      <c r="F307">
        <v>0</v>
      </c>
      <c r="K307">
        <v>12.5672</v>
      </c>
      <c r="P307">
        <v>0</v>
      </c>
      <c r="U307">
        <v>43.3825</v>
      </c>
      <c r="Z307">
        <v>47.057899999999997</v>
      </c>
      <c r="AE307">
        <v>129.69239999999999</v>
      </c>
      <c r="AJ307">
        <v>166.47069999999999</v>
      </c>
      <c r="CI307" t="s">
        <v>133</v>
      </c>
    </row>
    <row r="308" spans="1:87" x14ac:dyDescent="0.45">
      <c r="A308" t="s">
        <v>24</v>
      </c>
      <c r="B308" t="s">
        <v>6</v>
      </c>
      <c r="C308" t="s">
        <v>46</v>
      </c>
      <c r="D308" t="s">
        <v>134</v>
      </c>
      <c r="E308" t="s">
        <v>100</v>
      </c>
      <c r="F308">
        <v>0</v>
      </c>
      <c r="K308">
        <v>15.0481</v>
      </c>
      <c r="P308">
        <v>0</v>
      </c>
      <c r="U308">
        <v>36.019500000000001</v>
      </c>
      <c r="Z308">
        <v>32.958500000000001</v>
      </c>
      <c r="AE308">
        <v>79.427099999999996</v>
      </c>
      <c r="AJ308">
        <v>105.7765</v>
      </c>
      <c r="CI308" t="s">
        <v>134</v>
      </c>
    </row>
    <row r="309" spans="1:87" x14ac:dyDescent="0.45">
      <c r="A309" t="s">
        <v>24</v>
      </c>
      <c r="B309" t="s">
        <v>6</v>
      </c>
      <c r="C309" t="s">
        <v>46</v>
      </c>
      <c r="D309" t="s">
        <v>135</v>
      </c>
      <c r="E309" t="s">
        <v>26</v>
      </c>
      <c r="F309">
        <v>4.7725999999999997</v>
      </c>
      <c r="K309">
        <v>5.0255000000000001</v>
      </c>
      <c r="P309">
        <v>4.5914999999999999</v>
      </c>
      <c r="U309">
        <v>2.0990000000000002</v>
      </c>
      <c r="Z309">
        <v>0.68589999999999995</v>
      </c>
      <c r="AE309">
        <v>6.0999999999999999E-2</v>
      </c>
      <c r="AJ309">
        <v>5.7000000000000002E-3</v>
      </c>
      <c r="CI309" t="s">
        <v>135</v>
      </c>
    </row>
    <row r="310" spans="1:87" x14ac:dyDescent="0.45">
      <c r="A310" t="s">
        <v>24</v>
      </c>
      <c r="B310" t="s">
        <v>6</v>
      </c>
      <c r="C310" t="s">
        <v>46</v>
      </c>
      <c r="D310" t="s">
        <v>136</v>
      </c>
      <c r="E310" t="s">
        <v>26</v>
      </c>
      <c r="F310">
        <v>4.3829000000000002</v>
      </c>
      <c r="K310">
        <v>5.1195000000000004</v>
      </c>
      <c r="P310">
        <v>6.7096</v>
      </c>
      <c r="U310">
        <v>7.4523000000000001</v>
      </c>
      <c r="Z310">
        <v>8.7599</v>
      </c>
      <c r="AE310">
        <v>8.5862999999999996</v>
      </c>
      <c r="AJ310">
        <v>7.2107999999999999</v>
      </c>
      <c r="CI310" t="s">
        <v>136</v>
      </c>
    </row>
    <row r="311" spans="1:87" x14ac:dyDescent="0.45">
      <c r="A311" t="s">
        <v>24</v>
      </c>
      <c r="B311" t="s">
        <v>6</v>
      </c>
      <c r="C311" t="s">
        <v>46</v>
      </c>
      <c r="D311" t="s">
        <v>137</v>
      </c>
      <c r="E311" t="s">
        <v>26</v>
      </c>
      <c r="F311">
        <v>5.6300000000000003E-2</v>
      </c>
      <c r="K311">
        <v>4.53E-2</v>
      </c>
      <c r="P311">
        <v>3.6499999999999998E-2</v>
      </c>
      <c r="U311">
        <v>0.1123</v>
      </c>
      <c r="Z311">
        <v>0.20250000000000001</v>
      </c>
      <c r="AE311">
        <v>0.36840000000000001</v>
      </c>
      <c r="AJ311">
        <v>0.61360000000000003</v>
      </c>
      <c r="CI311" t="s">
        <v>137</v>
      </c>
    </row>
    <row r="312" spans="1:87" x14ac:dyDescent="0.45">
      <c r="A312" t="s">
        <v>24</v>
      </c>
      <c r="B312" t="s">
        <v>6</v>
      </c>
      <c r="C312" t="s">
        <v>46</v>
      </c>
      <c r="D312" t="s">
        <v>138</v>
      </c>
      <c r="E312" t="s">
        <v>26</v>
      </c>
      <c r="F312">
        <v>1.1474</v>
      </c>
      <c r="K312">
        <v>1.1393</v>
      </c>
      <c r="P312">
        <v>1.1311</v>
      </c>
      <c r="U312">
        <v>1.1918</v>
      </c>
      <c r="Z312">
        <v>1.3898999999999999</v>
      </c>
      <c r="AE312">
        <v>1.5968</v>
      </c>
      <c r="AJ312">
        <v>1.6261000000000001</v>
      </c>
      <c r="CI312" t="s">
        <v>138</v>
      </c>
    </row>
    <row r="313" spans="1:87" x14ac:dyDescent="0.45">
      <c r="A313" t="s">
        <v>24</v>
      </c>
      <c r="B313" t="s">
        <v>6</v>
      </c>
      <c r="C313" t="s">
        <v>46</v>
      </c>
      <c r="D313" t="s">
        <v>139</v>
      </c>
      <c r="E313" t="s">
        <v>26</v>
      </c>
      <c r="F313">
        <v>3.0255999999999998</v>
      </c>
      <c r="K313">
        <v>3.0089999999999999</v>
      </c>
      <c r="P313">
        <v>2.8723999999999998</v>
      </c>
      <c r="U313">
        <v>2.512</v>
      </c>
      <c r="Z313">
        <v>2.5215999999999998</v>
      </c>
      <c r="AE313">
        <v>2.4178999999999999</v>
      </c>
      <c r="AJ313">
        <v>2.4411999999999998</v>
      </c>
      <c r="CI313" t="s">
        <v>139</v>
      </c>
    </row>
    <row r="314" spans="1:87" x14ac:dyDescent="0.45">
      <c r="A314" t="s">
        <v>24</v>
      </c>
      <c r="B314" t="s">
        <v>6</v>
      </c>
      <c r="C314" t="s">
        <v>46</v>
      </c>
      <c r="D314" t="s">
        <v>140</v>
      </c>
      <c r="E314" t="s">
        <v>26</v>
      </c>
      <c r="F314">
        <v>0.67349999999999999</v>
      </c>
      <c r="K314">
        <v>0.66990000000000005</v>
      </c>
      <c r="P314">
        <v>0.48649999999999999</v>
      </c>
      <c r="U314">
        <v>0.2147</v>
      </c>
      <c r="Z314">
        <v>0</v>
      </c>
      <c r="AE314">
        <v>0</v>
      </c>
      <c r="AJ314">
        <v>0</v>
      </c>
      <c r="CI314" t="s">
        <v>140</v>
      </c>
    </row>
    <row r="315" spans="1:87" x14ac:dyDescent="0.45">
      <c r="A315" t="s">
        <v>24</v>
      </c>
      <c r="B315" t="s">
        <v>6</v>
      </c>
      <c r="C315" t="s">
        <v>46</v>
      </c>
      <c r="D315" t="s">
        <v>141</v>
      </c>
      <c r="E315" t="s">
        <v>26</v>
      </c>
      <c r="F315">
        <v>0.72929999999999995</v>
      </c>
      <c r="K315">
        <v>0.62219999999999998</v>
      </c>
      <c r="P315">
        <v>0.53900000000000003</v>
      </c>
      <c r="U315">
        <v>2.7305999999999999</v>
      </c>
      <c r="Z315">
        <v>3.3971</v>
      </c>
      <c r="AE315">
        <v>4.2088999999999999</v>
      </c>
      <c r="AJ315">
        <v>5.5202</v>
      </c>
      <c r="CI315" t="s">
        <v>141</v>
      </c>
    </row>
    <row r="316" spans="1:87" x14ac:dyDescent="0.45">
      <c r="A316" t="s">
        <v>24</v>
      </c>
      <c r="B316" t="s">
        <v>6</v>
      </c>
      <c r="C316" t="s">
        <v>46</v>
      </c>
      <c r="D316" t="s">
        <v>142</v>
      </c>
      <c r="E316" t="s">
        <v>26</v>
      </c>
      <c r="F316">
        <v>2.8334999999999999</v>
      </c>
      <c r="K316">
        <v>2.7227999999999999</v>
      </c>
      <c r="P316">
        <v>2.5674000000000001</v>
      </c>
      <c r="U316">
        <v>3.4295</v>
      </c>
      <c r="Z316">
        <v>3.153</v>
      </c>
      <c r="AE316">
        <v>2.9998999999999998</v>
      </c>
      <c r="AJ316">
        <v>2.8068</v>
      </c>
      <c r="CI316" t="s">
        <v>142</v>
      </c>
    </row>
    <row r="317" spans="1:87" x14ac:dyDescent="0.45">
      <c r="A317" t="s">
        <v>24</v>
      </c>
      <c r="B317" t="s">
        <v>6</v>
      </c>
      <c r="C317" t="s">
        <v>46</v>
      </c>
      <c r="D317" t="s">
        <v>143</v>
      </c>
      <c r="E317" t="s">
        <v>26</v>
      </c>
      <c r="F317">
        <v>1.4120999999999999</v>
      </c>
      <c r="K317">
        <v>1.3712</v>
      </c>
      <c r="P317">
        <v>1.2749999999999999</v>
      </c>
      <c r="U317">
        <v>3.0884999999999998</v>
      </c>
      <c r="Z317">
        <v>3.0846</v>
      </c>
      <c r="AE317">
        <v>3.9674999999999998</v>
      </c>
      <c r="AJ317">
        <v>5.5354000000000001</v>
      </c>
      <c r="CI317" t="s">
        <v>143</v>
      </c>
    </row>
    <row r="318" spans="1:87" x14ac:dyDescent="0.45">
      <c r="A318" t="s">
        <v>24</v>
      </c>
      <c r="B318" t="s">
        <v>6</v>
      </c>
      <c r="C318" t="s">
        <v>46</v>
      </c>
      <c r="D318" t="s">
        <v>144</v>
      </c>
      <c r="E318" t="s">
        <v>26</v>
      </c>
      <c r="F318">
        <v>21.445599999999999</v>
      </c>
      <c r="K318">
        <v>19.175899999999999</v>
      </c>
      <c r="P318">
        <v>19.8749</v>
      </c>
      <c r="U318">
        <v>20.988499999999998</v>
      </c>
      <c r="Z318">
        <v>22.735399999999998</v>
      </c>
      <c r="AE318">
        <v>23.4941</v>
      </c>
      <c r="AJ318">
        <v>22.552199999999999</v>
      </c>
      <c r="CI318" t="s">
        <v>144</v>
      </c>
    </row>
    <row r="319" spans="1:87" x14ac:dyDescent="0.45">
      <c r="A319" t="s">
        <v>24</v>
      </c>
      <c r="B319" t="s">
        <v>6</v>
      </c>
      <c r="C319" t="s">
        <v>46</v>
      </c>
      <c r="D319" t="s">
        <v>145</v>
      </c>
      <c r="E319" t="s">
        <v>26</v>
      </c>
      <c r="F319">
        <v>21.445599999999999</v>
      </c>
      <c r="K319">
        <v>19.175899999999999</v>
      </c>
      <c r="P319">
        <v>19.8749</v>
      </c>
      <c r="U319">
        <v>21.549399999999999</v>
      </c>
      <c r="Z319">
        <v>24.003699999999998</v>
      </c>
      <c r="AE319">
        <v>25.389900000000001</v>
      </c>
      <c r="AJ319">
        <v>24.5609</v>
      </c>
      <c r="CI319" t="s">
        <v>145</v>
      </c>
    </row>
    <row r="320" spans="1:87" x14ac:dyDescent="0.45">
      <c r="A320" t="s">
        <v>24</v>
      </c>
      <c r="B320" t="s">
        <v>6</v>
      </c>
      <c r="C320" t="s">
        <v>46</v>
      </c>
      <c r="D320" t="s">
        <v>146</v>
      </c>
      <c r="E320" t="s">
        <v>26</v>
      </c>
      <c r="F320">
        <v>0</v>
      </c>
      <c r="K320">
        <v>0</v>
      </c>
      <c r="P320">
        <v>0</v>
      </c>
      <c r="U320">
        <v>0</v>
      </c>
      <c r="Z320">
        <v>0</v>
      </c>
      <c r="AE320">
        <v>0</v>
      </c>
      <c r="AJ320">
        <v>0</v>
      </c>
      <c r="CI320" t="s">
        <v>146</v>
      </c>
    </row>
    <row r="321" spans="1:87" x14ac:dyDescent="0.45">
      <c r="A321" t="s">
        <v>24</v>
      </c>
      <c r="B321" t="s">
        <v>6</v>
      </c>
      <c r="C321" t="s">
        <v>46</v>
      </c>
      <c r="D321" t="s">
        <v>147</v>
      </c>
      <c r="E321" t="s">
        <v>26</v>
      </c>
      <c r="F321">
        <v>0.3231</v>
      </c>
      <c r="K321">
        <v>0.29930000000000001</v>
      </c>
      <c r="P321">
        <v>0.2601</v>
      </c>
      <c r="U321">
        <v>0.4108</v>
      </c>
      <c r="Z321">
        <v>0.57969999999999999</v>
      </c>
      <c r="AE321">
        <v>0.7712</v>
      </c>
      <c r="AJ321">
        <v>0.77749999999999997</v>
      </c>
      <c r="CI321" t="s">
        <v>147</v>
      </c>
    </row>
    <row r="322" spans="1:87" x14ac:dyDescent="0.45">
      <c r="A322" t="s">
        <v>24</v>
      </c>
      <c r="B322" t="s">
        <v>6</v>
      </c>
      <c r="C322" t="s">
        <v>46</v>
      </c>
      <c r="D322" t="s">
        <v>148</v>
      </c>
      <c r="E322" t="s">
        <v>26</v>
      </c>
      <c r="F322">
        <v>0.13339999999999999</v>
      </c>
      <c r="K322">
        <v>0.13669999999999999</v>
      </c>
      <c r="P322">
        <v>0.1353</v>
      </c>
      <c r="U322">
        <v>0.18329999999999999</v>
      </c>
      <c r="Z322">
        <v>0.2152</v>
      </c>
      <c r="AE322">
        <v>0.2606</v>
      </c>
      <c r="AJ322">
        <v>0.21870000000000001</v>
      </c>
      <c r="CI322" t="s">
        <v>148</v>
      </c>
    </row>
    <row r="323" spans="1:87" x14ac:dyDescent="0.45">
      <c r="A323" t="s">
        <v>24</v>
      </c>
      <c r="B323" t="s">
        <v>6</v>
      </c>
      <c r="C323" t="s">
        <v>46</v>
      </c>
      <c r="D323" t="s">
        <v>149</v>
      </c>
      <c r="E323" t="s">
        <v>26</v>
      </c>
      <c r="F323">
        <v>28.161000000000001</v>
      </c>
      <c r="K323">
        <v>28.173200000000001</v>
      </c>
      <c r="P323">
        <v>28.680700000000002</v>
      </c>
      <c r="U323">
        <v>27.4924</v>
      </c>
      <c r="Z323">
        <v>24.485299999999999</v>
      </c>
      <c r="AE323">
        <v>21.675000000000001</v>
      </c>
      <c r="AJ323">
        <v>17.1965</v>
      </c>
      <c r="CI323" t="s">
        <v>149</v>
      </c>
    </row>
    <row r="324" spans="1:87" x14ac:dyDescent="0.45">
      <c r="A324" t="s">
        <v>24</v>
      </c>
      <c r="B324" t="s">
        <v>6</v>
      </c>
      <c r="C324" t="s">
        <v>46</v>
      </c>
      <c r="D324" t="s">
        <v>150</v>
      </c>
      <c r="E324" t="s">
        <v>26</v>
      </c>
      <c r="F324">
        <v>2.6827000000000001</v>
      </c>
      <c r="K324">
        <v>2.6671</v>
      </c>
      <c r="P324">
        <v>3.2856999999999998</v>
      </c>
      <c r="U324">
        <v>2.8039999999999998</v>
      </c>
      <c r="Z324">
        <v>2.5665</v>
      </c>
      <c r="AE324">
        <v>2.3151999999999999</v>
      </c>
      <c r="AJ324">
        <v>2.0865</v>
      </c>
      <c r="CI324" t="s">
        <v>150</v>
      </c>
    </row>
    <row r="325" spans="1:87" x14ac:dyDescent="0.45">
      <c r="A325" t="s">
        <v>24</v>
      </c>
      <c r="B325" t="s">
        <v>6</v>
      </c>
      <c r="C325" t="s">
        <v>46</v>
      </c>
      <c r="D325" t="s">
        <v>151</v>
      </c>
      <c r="E325" t="s">
        <v>26</v>
      </c>
      <c r="F325">
        <v>3.3E-3</v>
      </c>
      <c r="K325">
        <v>0</v>
      </c>
      <c r="P325">
        <v>0</v>
      </c>
      <c r="U325">
        <v>8.0000000000000004E-4</v>
      </c>
      <c r="Z325">
        <v>0</v>
      </c>
      <c r="AE325">
        <v>0</v>
      </c>
      <c r="AJ325">
        <v>0</v>
      </c>
      <c r="CI325" t="s">
        <v>151</v>
      </c>
    </row>
    <row r="326" spans="1:87" x14ac:dyDescent="0.45">
      <c r="A326" t="s">
        <v>24</v>
      </c>
      <c r="B326" t="s">
        <v>6</v>
      </c>
      <c r="C326" t="s">
        <v>46</v>
      </c>
      <c r="D326" t="s">
        <v>152</v>
      </c>
      <c r="E326" t="s">
        <v>26</v>
      </c>
      <c r="F326">
        <v>25.475200000000001</v>
      </c>
      <c r="K326">
        <v>25.5062</v>
      </c>
      <c r="P326">
        <v>25.395</v>
      </c>
      <c r="U326">
        <v>25.046800000000001</v>
      </c>
      <c r="Z326">
        <v>22.623699999999999</v>
      </c>
      <c r="AE326">
        <v>20.427399999999999</v>
      </c>
      <c r="AJ326">
        <v>16.399799999999999</v>
      </c>
      <c r="CI326" t="s">
        <v>152</v>
      </c>
    </row>
    <row r="327" spans="1:87" x14ac:dyDescent="0.45">
      <c r="A327" t="s">
        <v>24</v>
      </c>
      <c r="B327" t="s">
        <v>6</v>
      </c>
      <c r="C327" t="s">
        <v>46</v>
      </c>
      <c r="D327" t="s">
        <v>153</v>
      </c>
      <c r="E327" t="s">
        <v>26</v>
      </c>
      <c r="F327">
        <v>1.0045999999999999</v>
      </c>
      <c r="K327">
        <v>1.1011</v>
      </c>
      <c r="P327">
        <v>1.2412000000000001</v>
      </c>
      <c r="U327">
        <v>1.0474000000000001</v>
      </c>
      <c r="Z327">
        <v>0.4672</v>
      </c>
      <c r="AE327">
        <v>0.39419999999999999</v>
      </c>
      <c r="AJ327">
        <v>0.10349999999999999</v>
      </c>
      <c r="CI327" t="s">
        <v>153</v>
      </c>
    </row>
    <row r="328" spans="1:87" x14ac:dyDescent="0.45">
      <c r="A328" t="s">
        <v>24</v>
      </c>
      <c r="B328" t="s">
        <v>6</v>
      </c>
      <c r="C328" t="s">
        <v>46</v>
      </c>
      <c r="D328" t="s">
        <v>154</v>
      </c>
      <c r="E328" t="s">
        <v>26</v>
      </c>
      <c r="F328">
        <v>0.21709999999999999</v>
      </c>
      <c r="K328">
        <v>0.2147</v>
      </c>
      <c r="P328">
        <v>0</v>
      </c>
      <c r="U328">
        <v>0.13389999999999999</v>
      </c>
      <c r="Z328">
        <v>0</v>
      </c>
      <c r="AE328">
        <v>0</v>
      </c>
      <c r="AJ328">
        <v>0</v>
      </c>
      <c r="CI328" t="s">
        <v>154</v>
      </c>
    </row>
    <row r="329" spans="1:87" x14ac:dyDescent="0.45">
      <c r="A329" t="s">
        <v>24</v>
      </c>
      <c r="B329" t="s">
        <v>6</v>
      </c>
      <c r="C329" t="s">
        <v>46</v>
      </c>
      <c r="D329" t="s">
        <v>155</v>
      </c>
      <c r="E329" t="s">
        <v>26</v>
      </c>
      <c r="F329">
        <v>0.78749999999999998</v>
      </c>
      <c r="K329">
        <v>0.88639999999999997</v>
      </c>
      <c r="P329">
        <v>1.2412000000000001</v>
      </c>
      <c r="U329">
        <v>0.91339999999999999</v>
      </c>
      <c r="Z329">
        <v>0.4672</v>
      </c>
      <c r="AE329">
        <v>0.39419999999999999</v>
      </c>
      <c r="AJ329">
        <v>0.10349999999999999</v>
      </c>
      <c r="CI329" t="s">
        <v>155</v>
      </c>
    </row>
    <row r="330" spans="1:87" x14ac:dyDescent="0.45">
      <c r="A330" t="s">
        <v>24</v>
      </c>
      <c r="B330" t="s">
        <v>6</v>
      </c>
      <c r="C330" t="s">
        <v>46</v>
      </c>
      <c r="D330" t="s">
        <v>156</v>
      </c>
      <c r="E330" t="s">
        <v>48</v>
      </c>
      <c r="F330">
        <v>71.863399999999999</v>
      </c>
      <c r="K330">
        <v>61.835500000000003</v>
      </c>
      <c r="P330">
        <v>57.786799999999999</v>
      </c>
      <c r="U330">
        <v>-8.7359000000000009</v>
      </c>
      <c r="Z330">
        <v>-69.754499999999993</v>
      </c>
      <c r="AE330">
        <v>-121.33459999999999</v>
      </c>
      <c r="AJ330">
        <v>-156.2962</v>
      </c>
      <c r="CI330" t="s">
        <v>156</v>
      </c>
    </row>
    <row r="331" spans="1:87" x14ac:dyDescent="0.45">
      <c r="A331" t="s">
        <v>24</v>
      </c>
      <c r="B331" t="s">
        <v>6</v>
      </c>
      <c r="C331" t="s">
        <v>46</v>
      </c>
      <c r="D331" t="s">
        <v>157</v>
      </c>
      <c r="E331" t="s">
        <v>48</v>
      </c>
      <c r="F331">
        <v>90.549000000000007</v>
      </c>
      <c r="K331">
        <v>81.560400000000001</v>
      </c>
      <c r="P331">
        <v>62.549599999999998</v>
      </c>
      <c r="U331">
        <v>41.955300000000001</v>
      </c>
      <c r="Z331">
        <v>24.283000000000001</v>
      </c>
      <c r="AE331">
        <v>10.3636</v>
      </c>
      <c r="CI331" t="s">
        <v>157</v>
      </c>
    </row>
    <row r="332" spans="1:87" x14ac:dyDescent="0.45">
      <c r="A332" t="s">
        <v>24</v>
      </c>
      <c r="B332" t="s">
        <v>6</v>
      </c>
      <c r="C332" t="s">
        <v>46</v>
      </c>
      <c r="D332" t="s">
        <v>158</v>
      </c>
      <c r="E332" t="s">
        <v>48</v>
      </c>
      <c r="F332">
        <v>6.8491</v>
      </c>
      <c r="K332">
        <v>5.7076000000000002</v>
      </c>
      <c r="P332">
        <v>4.5660999999999996</v>
      </c>
      <c r="U332">
        <v>3.4245999999999999</v>
      </c>
      <c r="Z332">
        <v>2.2829999999999999</v>
      </c>
      <c r="AE332">
        <v>1.1415</v>
      </c>
      <c r="CI332" t="s">
        <v>158</v>
      </c>
    </row>
    <row r="333" spans="1:87" x14ac:dyDescent="0.45">
      <c r="A333" t="s">
        <v>24</v>
      </c>
      <c r="B333" t="s">
        <v>6</v>
      </c>
      <c r="C333" t="s">
        <v>46</v>
      </c>
      <c r="D333" t="s">
        <v>159</v>
      </c>
      <c r="E333" t="s">
        <v>48</v>
      </c>
      <c r="F333">
        <v>34.7941</v>
      </c>
      <c r="K333">
        <v>34.7941</v>
      </c>
      <c r="P333">
        <v>34.7941</v>
      </c>
      <c r="U333">
        <v>34.7941</v>
      </c>
      <c r="Z333">
        <v>34.7941</v>
      </c>
      <c r="AE333">
        <v>34.7941</v>
      </c>
      <c r="AJ333">
        <v>34.7941</v>
      </c>
      <c r="CI333" t="s">
        <v>159</v>
      </c>
    </row>
    <row r="334" spans="1:87" x14ac:dyDescent="0.45">
      <c r="A334" t="s">
        <v>24</v>
      </c>
      <c r="B334" t="s">
        <v>6</v>
      </c>
      <c r="C334" t="s">
        <v>46</v>
      </c>
      <c r="D334" t="s">
        <v>160</v>
      </c>
      <c r="E334" t="s">
        <v>66</v>
      </c>
      <c r="F334">
        <v>4.1596000000000002</v>
      </c>
      <c r="K334">
        <v>3.4664000000000001</v>
      </c>
      <c r="P334">
        <v>2.7730999999999999</v>
      </c>
      <c r="U334">
        <v>2.0798000000000001</v>
      </c>
      <c r="Z334">
        <v>1.3865000000000001</v>
      </c>
      <c r="AE334">
        <v>0.69330000000000003</v>
      </c>
      <c r="CI334" t="s">
        <v>160</v>
      </c>
    </row>
    <row r="335" spans="1:87" x14ac:dyDescent="0.45">
      <c r="A335" t="s">
        <v>24</v>
      </c>
      <c r="B335" t="s">
        <v>6</v>
      </c>
      <c r="C335" t="s">
        <v>46</v>
      </c>
      <c r="D335" t="s">
        <v>161</v>
      </c>
      <c r="E335" t="s">
        <v>26</v>
      </c>
      <c r="F335">
        <v>-1.4253</v>
      </c>
      <c r="K335">
        <v>-0.87190000000000001</v>
      </c>
      <c r="P335">
        <v>-0.61860000000000004</v>
      </c>
      <c r="U335">
        <v>-3.2000000000000002E-3</v>
      </c>
      <c r="Z335">
        <v>0.2324</v>
      </c>
      <c r="AE335">
        <v>0.15329999999999999</v>
      </c>
      <c r="AJ335">
        <v>0</v>
      </c>
      <c r="CI335" t="s">
        <v>161</v>
      </c>
    </row>
    <row r="336" spans="1:87" x14ac:dyDescent="0.45">
      <c r="A336" t="s">
        <v>24</v>
      </c>
      <c r="B336" t="s">
        <v>6</v>
      </c>
      <c r="C336" t="s">
        <v>46</v>
      </c>
      <c r="D336" t="s">
        <v>162</v>
      </c>
      <c r="E336" t="s">
        <v>26</v>
      </c>
      <c r="F336">
        <v>-0.29060000000000002</v>
      </c>
      <c r="K336">
        <v>-0.2432</v>
      </c>
      <c r="P336">
        <v>-0.2286</v>
      </c>
      <c r="U336">
        <v>-0.14319999999999999</v>
      </c>
      <c r="Z336">
        <v>-8.4900000000000003E-2</v>
      </c>
      <c r="AE336">
        <v>-3.8600000000000002E-2</v>
      </c>
      <c r="CI336" t="s">
        <v>162</v>
      </c>
    </row>
    <row r="337" spans="1:87" x14ac:dyDescent="0.45">
      <c r="A337" t="s">
        <v>24</v>
      </c>
      <c r="B337" t="s">
        <v>6</v>
      </c>
      <c r="C337" t="s">
        <v>46</v>
      </c>
      <c r="D337" t="s">
        <v>163</v>
      </c>
      <c r="E337" t="s">
        <v>26</v>
      </c>
      <c r="F337">
        <v>-0.4924</v>
      </c>
      <c r="K337">
        <v>-0.433</v>
      </c>
      <c r="P337">
        <v>-0.32790000000000002</v>
      </c>
      <c r="U337">
        <v>-0.1152</v>
      </c>
      <c r="Z337">
        <v>-2.4500000000000001E-2</v>
      </c>
      <c r="AE337">
        <v>-3.2000000000000002E-3</v>
      </c>
      <c r="AJ337">
        <v>0</v>
      </c>
      <c r="CI337" t="s">
        <v>163</v>
      </c>
    </row>
    <row r="338" spans="1:87" x14ac:dyDescent="0.45">
      <c r="A338" t="s">
        <v>24</v>
      </c>
      <c r="B338" t="s">
        <v>6</v>
      </c>
      <c r="C338" t="s">
        <v>46</v>
      </c>
      <c r="D338" t="s">
        <v>164</v>
      </c>
      <c r="E338" t="s">
        <v>26</v>
      </c>
      <c r="F338">
        <v>-0.4924</v>
      </c>
      <c r="K338">
        <v>-0.433</v>
      </c>
      <c r="P338">
        <v>-0.32790000000000002</v>
      </c>
      <c r="U338">
        <v>-0.1152</v>
      </c>
      <c r="Z338">
        <v>-2.4500000000000001E-2</v>
      </c>
      <c r="AE338">
        <v>-3.2000000000000002E-3</v>
      </c>
      <c r="CI338" t="s">
        <v>164</v>
      </c>
    </row>
    <row r="339" spans="1:87" x14ac:dyDescent="0.45">
      <c r="A339" t="s">
        <v>24</v>
      </c>
      <c r="B339" t="s">
        <v>6</v>
      </c>
      <c r="C339" t="s">
        <v>46</v>
      </c>
      <c r="D339" t="s">
        <v>165</v>
      </c>
      <c r="E339" t="s">
        <v>26</v>
      </c>
      <c r="F339">
        <v>0.38290000000000002</v>
      </c>
      <c r="K339">
        <v>0.26119999999999999</v>
      </c>
      <c r="P339">
        <v>0.22639999999999999</v>
      </c>
      <c r="U339">
        <v>-0.73270000000000002</v>
      </c>
      <c r="Z339">
        <v>-1.6625000000000001</v>
      </c>
      <c r="AE339">
        <v>-2.5247000000000002</v>
      </c>
      <c r="AJ339">
        <v>-3.0665</v>
      </c>
      <c r="CI339" t="s">
        <v>165</v>
      </c>
    </row>
    <row r="340" spans="1:87" x14ac:dyDescent="0.45">
      <c r="A340" t="s">
        <v>24</v>
      </c>
      <c r="B340" t="s">
        <v>6</v>
      </c>
      <c r="C340" t="s">
        <v>46</v>
      </c>
      <c r="D340" t="s">
        <v>166</v>
      </c>
      <c r="E340" t="s">
        <v>26</v>
      </c>
      <c r="U340">
        <v>-2.0999999999999999E-3</v>
      </c>
      <c r="Z340">
        <v>-1.29E-2</v>
      </c>
      <c r="AE340">
        <v>-6.5000000000000002E-2</v>
      </c>
      <c r="AJ340">
        <v>-0.1573</v>
      </c>
      <c r="CI340" t="s">
        <v>166</v>
      </c>
    </row>
    <row r="341" spans="1:87" x14ac:dyDescent="0.45">
      <c r="A341" t="s">
        <v>24</v>
      </c>
      <c r="B341" t="s">
        <v>6</v>
      </c>
      <c r="C341" t="s">
        <v>46</v>
      </c>
      <c r="D341" t="s">
        <v>167</v>
      </c>
      <c r="E341" t="s">
        <v>26</v>
      </c>
      <c r="F341">
        <v>0.38290000000000002</v>
      </c>
      <c r="K341">
        <v>0.26119999999999999</v>
      </c>
      <c r="P341">
        <v>0.22639999999999999</v>
      </c>
      <c r="U341">
        <v>-0.72989999999999999</v>
      </c>
      <c r="Z341">
        <v>-1.6479999999999999</v>
      </c>
      <c r="AE341">
        <v>-2.4573999999999998</v>
      </c>
      <c r="AJ341">
        <v>-2.9093</v>
      </c>
      <c r="CI341" t="s">
        <v>167</v>
      </c>
    </row>
    <row r="342" spans="1:87" x14ac:dyDescent="0.45">
      <c r="A342" t="s">
        <v>24</v>
      </c>
      <c r="B342" t="s">
        <v>6</v>
      </c>
      <c r="C342" t="s">
        <v>46</v>
      </c>
      <c r="D342" t="s">
        <v>168</v>
      </c>
      <c r="E342" t="s">
        <v>26</v>
      </c>
      <c r="F342">
        <v>-1.0166999999999999</v>
      </c>
      <c r="K342">
        <v>-0.76819999999999999</v>
      </c>
      <c r="P342">
        <v>-0.64639999999999997</v>
      </c>
      <c r="U342">
        <v>-0.5262</v>
      </c>
      <c r="Z342">
        <v>-0.3846</v>
      </c>
      <c r="AE342">
        <v>-0.19589999999999999</v>
      </c>
      <c r="AJ342">
        <v>0</v>
      </c>
      <c r="CI342" t="s">
        <v>168</v>
      </c>
    </row>
    <row r="343" spans="1:87" x14ac:dyDescent="0.45">
      <c r="A343" t="s">
        <v>24</v>
      </c>
      <c r="B343" t="s">
        <v>6</v>
      </c>
      <c r="C343" t="s">
        <v>46</v>
      </c>
      <c r="D343" t="s">
        <v>169</v>
      </c>
      <c r="E343" t="s">
        <v>26</v>
      </c>
      <c r="F343">
        <v>-1.0166999999999999</v>
      </c>
      <c r="K343">
        <v>-0.76819999999999999</v>
      </c>
      <c r="P343">
        <v>-0.64639999999999997</v>
      </c>
      <c r="U343">
        <v>-0.5262</v>
      </c>
      <c r="Z343">
        <v>-0.3846</v>
      </c>
      <c r="AE343">
        <v>-0.1958</v>
      </c>
      <c r="CI343" t="s">
        <v>169</v>
      </c>
    </row>
    <row r="344" spans="1:87" x14ac:dyDescent="0.45">
      <c r="A344" t="s">
        <v>24</v>
      </c>
      <c r="B344" t="s">
        <v>6</v>
      </c>
      <c r="C344" t="s">
        <v>46</v>
      </c>
      <c r="D344" t="s">
        <v>170</v>
      </c>
      <c r="E344" t="s">
        <v>26</v>
      </c>
      <c r="F344">
        <v>1.1900000000000001E-2</v>
      </c>
      <c r="K344">
        <v>7.7999999999999996E-3</v>
      </c>
      <c r="P344">
        <v>4.8999999999999998E-3</v>
      </c>
      <c r="U344">
        <v>8.8000000000000005E-3</v>
      </c>
      <c r="Z344">
        <v>9.7999999999999997E-3</v>
      </c>
      <c r="AE344">
        <v>8.6999999999999994E-3</v>
      </c>
      <c r="CI344" t="s">
        <v>170</v>
      </c>
    </row>
    <row r="345" spans="1:87" x14ac:dyDescent="0.45">
      <c r="A345" t="s">
        <v>24</v>
      </c>
      <c r="B345" t="s">
        <v>6</v>
      </c>
      <c r="C345" t="s">
        <v>46</v>
      </c>
      <c r="D345" t="s">
        <v>171</v>
      </c>
      <c r="E345" t="s">
        <v>26</v>
      </c>
      <c r="F345">
        <v>-0.14580000000000001</v>
      </c>
      <c r="K345">
        <v>-0.1207</v>
      </c>
      <c r="P345">
        <v>-9.5799999999999996E-2</v>
      </c>
      <c r="U345">
        <v>-6.1699999999999998E-2</v>
      </c>
      <c r="Z345">
        <v>-4.2099999999999999E-2</v>
      </c>
      <c r="AE345">
        <v>-2.3400000000000001E-2</v>
      </c>
      <c r="CI345" t="s">
        <v>171</v>
      </c>
    </row>
    <row r="346" spans="1:87" x14ac:dyDescent="0.45">
      <c r="A346" t="s">
        <v>24</v>
      </c>
      <c r="B346" t="s">
        <v>6</v>
      </c>
      <c r="C346" t="s">
        <v>46</v>
      </c>
      <c r="D346" t="s">
        <v>172</v>
      </c>
      <c r="E346" t="s">
        <v>26</v>
      </c>
      <c r="F346">
        <v>-4.2900000000000001E-2</v>
      </c>
      <c r="K346">
        <v>-3.5499999999999997E-2</v>
      </c>
      <c r="P346">
        <v>-2.7099999999999999E-2</v>
      </c>
      <c r="U346">
        <v>-1.78E-2</v>
      </c>
      <c r="Z346">
        <v>-1.2E-2</v>
      </c>
      <c r="AE346">
        <v>-5.7999999999999996E-3</v>
      </c>
      <c r="CI346" t="s">
        <v>172</v>
      </c>
    </row>
    <row r="347" spans="1:87" x14ac:dyDescent="0.45">
      <c r="A347" t="s">
        <v>24</v>
      </c>
      <c r="B347" t="s">
        <v>6</v>
      </c>
      <c r="C347" t="s">
        <v>46</v>
      </c>
      <c r="D347" t="s">
        <v>173</v>
      </c>
      <c r="E347" t="s">
        <v>26</v>
      </c>
      <c r="F347">
        <v>0.52300000000000002</v>
      </c>
      <c r="K347">
        <v>0.52090000000000003</v>
      </c>
      <c r="P347">
        <v>0.38030000000000003</v>
      </c>
      <c r="U347">
        <v>0.2928</v>
      </c>
      <c r="Z347">
        <v>0.1706</v>
      </c>
      <c r="AE347">
        <v>7.0199999999999999E-2</v>
      </c>
      <c r="CI347" t="s">
        <v>173</v>
      </c>
    </row>
    <row r="348" spans="1:87" x14ac:dyDescent="0.45">
      <c r="A348" t="s">
        <v>24</v>
      </c>
      <c r="B348" t="s">
        <v>6</v>
      </c>
      <c r="C348" t="s">
        <v>46</v>
      </c>
      <c r="D348" t="s">
        <v>174</v>
      </c>
      <c r="E348" t="s">
        <v>26</v>
      </c>
      <c r="F348">
        <v>0.52300000000000002</v>
      </c>
      <c r="K348">
        <v>0.52090000000000003</v>
      </c>
      <c r="P348">
        <v>0.38030000000000003</v>
      </c>
      <c r="U348">
        <v>0.2928</v>
      </c>
      <c r="Z348">
        <v>0.1706</v>
      </c>
      <c r="AE348">
        <v>7.0199999999999999E-2</v>
      </c>
      <c r="CI348" t="s">
        <v>174</v>
      </c>
    </row>
    <row r="349" spans="1:87" x14ac:dyDescent="0.45">
      <c r="A349" t="s">
        <v>24</v>
      </c>
      <c r="B349" t="s">
        <v>6</v>
      </c>
      <c r="C349" t="s">
        <v>46</v>
      </c>
      <c r="D349" t="s">
        <v>175</v>
      </c>
      <c r="E349" t="s">
        <v>26</v>
      </c>
      <c r="F349">
        <v>0.38150000000000001</v>
      </c>
      <c r="K349">
        <v>0.4859</v>
      </c>
      <c r="P349">
        <v>0.53480000000000005</v>
      </c>
      <c r="U349">
        <v>0.92859999999999998</v>
      </c>
      <c r="Z349">
        <v>0.83520000000000005</v>
      </c>
      <c r="AE349">
        <v>0.48870000000000002</v>
      </c>
      <c r="CI349" t="s">
        <v>175</v>
      </c>
    </row>
    <row r="350" spans="1:87" x14ac:dyDescent="0.45">
      <c r="A350" t="s">
        <v>24</v>
      </c>
      <c r="B350" t="s">
        <v>6</v>
      </c>
      <c r="C350" t="s">
        <v>46</v>
      </c>
      <c r="D350" t="s">
        <v>176</v>
      </c>
      <c r="E350" t="s">
        <v>26</v>
      </c>
      <c r="F350">
        <v>-0.3533</v>
      </c>
      <c r="K350">
        <v>-0.28589999999999999</v>
      </c>
      <c r="P350">
        <v>-0.2127</v>
      </c>
      <c r="U350">
        <v>-0.36940000000000001</v>
      </c>
      <c r="Z350">
        <v>-0.23519999999999999</v>
      </c>
      <c r="AE350">
        <v>-0.14749999999999999</v>
      </c>
      <c r="CI350" t="s">
        <v>176</v>
      </c>
    </row>
    <row r="351" spans="1:87" x14ac:dyDescent="0.45">
      <c r="A351" t="s">
        <v>24</v>
      </c>
      <c r="B351" t="s">
        <v>6</v>
      </c>
      <c r="C351" t="s">
        <v>46</v>
      </c>
      <c r="D351" t="s">
        <v>177</v>
      </c>
      <c r="E351" t="s">
        <v>26</v>
      </c>
      <c r="F351">
        <v>-1.4633</v>
      </c>
      <c r="K351">
        <v>-1.1866000000000001</v>
      </c>
      <c r="P351">
        <v>-0.92049999999999998</v>
      </c>
      <c r="U351">
        <v>-1.5676000000000001</v>
      </c>
      <c r="Z351">
        <v>-1.2184999999999999</v>
      </c>
      <c r="AE351">
        <v>-0.75170000000000003</v>
      </c>
      <c r="AJ351">
        <v>-9.7100000000000006E-2</v>
      </c>
      <c r="CI351" t="s">
        <v>177</v>
      </c>
    </row>
    <row r="352" spans="1:87" x14ac:dyDescent="0.45">
      <c r="A352" t="s">
        <v>24</v>
      </c>
      <c r="B352" t="s">
        <v>6</v>
      </c>
      <c r="C352" t="s">
        <v>46</v>
      </c>
      <c r="D352" t="s">
        <v>178</v>
      </c>
      <c r="E352" t="s">
        <v>26</v>
      </c>
      <c r="F352">
        <v>-0.34289999999999998</v>
      </c>
      <c r="K352">
        <v>-0.26019999999999999</v>
      </c>
      <c r="P352">
        <v>-0.1487</v>
      </c>
      <c r="U352">
        <v>-9.0899999999999995E-2</v>
      </c>
      <c r="Z352">
        <v>-4.6800000000000001E-2</v>
      </c>
      <c r="AE352">
        <v>-8.3999999999999995E-3</v>
      </c>
      <c r="CI352" t="s">
        <v>178</v>
      </c>
    </row>
    <row r="353" spans="1:87" x14ac:dyDescent="0.45">
      <c r="A353" t="s">
        <v>24</v>
      </c>
      <c r="B353" t="s">
        <v>6</v>
      </c>
      <c r="C353" t="s">
        <v>46</v>
      </c>
      <c r="D353" t="s">
        <v>179</v>
      </c>
      <c r="E353" t="s">
        <v>26</v>
      </c>
      <c r="F353">
        <v>0.15079999999999999</v>
      </c>
      <c r="K353">
        <v>0.1323</v>
      </c>
      <c r="P353">
        <v>9.6699999999999994E-2</v>
      </c>
      <c r="U353">
        <v>3.32E-2</v>
      </c>
      <c r="Z353">
        <v>7.1999999999999998E-3</v>
      </c>
      <c r="AE353">
        <v>2.9999999999999997E-4</v>
      </c>
      <c r="CI353" t="s">
        <v>179</v>
      </c>
    </row>
    <row r="354" spans="1:87" x14ac:dyDescent="0.45">
      <c r="A354" t="s">
        <v>24</v>
      </c>
      <c r="B354" t="s">
        <v>6</v>
      </c>
      <c r="C354" t="s">
        <v>46</v>
      </c>
      <c r="D354" t="s">
        <v>180</v>
      </c>
      <c r="E354" t="s">
        <v>26</v>
      </c>
      <c r="F354">
        <v>-0.30020000000000002</v>
      </c>
      <c r="K354">
        <v>-0.29220000000000002</v>
      </c>
      <c r="P354">
        <v>-0.30640000000000001</v>
      </c>
      <c r="U354">
        <v>-0.25519999999999998</v>
      </c>
      <c r="Z354">
        <v>-0.2</v>
      </c>
      <c r="AE354">
        <v>-9.8000000000000004E-2</v>
      </c>
      <c r="CI354" t="s">
        <v>180</v>
      </c>
    </row>
    <row r="355" spans="1:87" x14ac:dyDescent="0.45">
      <c r="A355" t="s">
        <v>24</v>
      </c>
      <c r="B355" t="s">
        <v>6</v>
      </c>
      <c r="C355" t="s">
        <v>46</v>
      </c>
      <c r="D355" t="s">
        <v>181</v>
      </c>
      <c r="E355" t="s">
        <v>26</v>
      </c>
      <c r="F355">
        <v>1.7500000000000002E-2</v>
      </c>
      <c r="K355">
        <v>1.17E-2</v>
      </c>
      <c r="P355">
        <v>7.6E-3</v>
      </c>
      <c r="U355">
        <v>1.7399999999999999E-2</v>
      </c>
      <c r="Z355">
        <v>2.0899999999999998E-2</v>
      </c>
      <c r="AE355">
        <v>1.9099999999999999E-2</v>
      </c>
      <c r="CI355" t="s">
        <v>181</v>
      </c>
    </row>
    <row r="356" spans="1:87" x14ac:dyDescent="0.45">
      <c r="A356" t="s">
        <v>24</v>
      </c>
      <c r="B356" t="s">
        <v>6</v>
      </c>
      <c r="C356" t="s">
        <v>46</v>
      </c>
      <c r="D356" t="s">
        <v>182</v>
      </c>
      <c r="E356" t="s">
        <v>26</v>
      </c>
      <c r="F356">
        <v>-0.14580000000000001</v>
      </c>
      <c r="K356">
        <v>-0.1207</v>
      </c>
      <c r="P356">
        <v>-9.5799999999999996E-2</v>
      </c>
      <c r="U356">
        <v>-7.5700000000000003E-2</v>
      </c>
      <c r="Z356">
        <v>-5.8900000000000001E-2</v>
      </c>
      <c r="AE356">
        <v>-3.3799999999999997E-2</v>
      </c>
      <c r="CI356" t="s">
        <v>182</v>
      </c>
    </row>
    <row r="357" spans="1:87" x14ac:dyDescent="0.45">
      <c r="A357" t="s">
        <v>24</v>
      </c>
      <c r="B357" t="s">
        <v>6</v>
      </c>
      <c r="C357" t="s">
        <v>46</v>
      </c>
      <c r="D357" t="s">
        <v>183</v>
      </c>
      <c r="E357" t="s">
        <v>26</v>
      </c>
      <c r="F357">
        <v>-4.6399999999999997E-2</v>
      </c>
      <c r="K357">
        <v>-3.85E-2</v>
      </c>
      <c r="P357">
        <v>-2.9399999999999999E-2</v>
      </c>
      <c r="U357">
        <v>-1.9300000000000001E-2</v>
      </c>
      <c r="Z357">
        <v>-1.29E-2</v>
      </c>
      <c r="AE357">
        <v>-6.1999999999999998E-3</v>
      </c>
      <c r="CI357" t="s">
        <v>183</v>
      </c>
    </row>
    <row r="358" spans="1:87" x14ac:dyDescent="0.45">
      <c r="A358" t="s">
        <v>24</v>
      </c>
      <c r="B358" t="s">
        <v>6</v>
      </c>
      <c r="C358" t="s">
        <v>46</v>
      </c>
      <c r="D358" t="s">
        <v>184</v>
      </c>
      <c r="E358" t="s">
        <v>26</v>
      </c>
      <c r="F358">
        <v>-5.6099999999999997E-2</v>
      </c>
      <c r="K358">
        <v>-4.65E-2</v>
      </c>
      <c r="P358">
        <v>-2.7E-2</v>
      </c>
      <c r="U358">
        <v>-8.8999999999999999E-3</v>
      </c>
      <c r="CI358" t="s">
        <v>184</v>
      </c>
    </row>
    <row r="359" spans="1:87" x14ac:dyDescent="0.45">
      <c r="A359" t="s">
        <v>24</v>
      </c>
      <c r="B359" t="s">
        <v>6</v>
      </c>
      <c r="C359" t="s">
        <v>46</v>
      </c>
      <c r="D359" t="s">
        <v>185</v>
      </c>
      <c r="E359" t="s">
        <v>26</v>
      </c>
      <c r="F359">
        <v>-0.3478</v>
      </c>
      <c r="K359">
        <v>-0.2472</v>
      </c>
      <c r="P359">
        <v>-0.1714</v>
      </c>
      <c r="U359">
        <v>-0.65110000000000001</v>
      </c>
      <c r="Z359">
        <v>-0.54</v>
      </c>
      <c r="AE359">
        <v>-0.33450000000000002</v>
      </c>
      <c r="CI359" t="s">
        <v>185</v>
      </c>
    </row>
    <row r="360" spans="1:87" x14ac:dyDescent="0.45">
      <c r="A360" t="s">
        <v>24</v>
      </c>
      <c r="B360" t="s">
        <v>6</v>
      </c>
      <c r="C360" t="s">
        <v>46</v>
      </c>
      <c r="D360" t="s">
        <v>186</v>
      </c>
      <c r="E360" t="s">
        <v>26</v>
      </c>
      <c r="F360">
        <v>-0.3533</v>
      </c>
      <c r="K360">
        <v>-0.28589999999999999</v>
      </c>
      <c r="P360">
        <v>-0.2127</v>
      </c>
      <c r="U360">
        <v>-0.38640000000000002</v>
      </c>
      <c r="Z360">
        <v>-0.25729999999999997</v>
      </c>
      <c r="AE360">
        <v>-0.16550000000000001</v>
      </c>
      <c r="CI360" t="s">
        <v>186</v>
      </c>
    </row>
    <row r="361" spans="1:87" x14ac:dyDescent="0.45">
      <c r="A361" t="s">
        <v>24</v>
      </c>
      <c r="B361" t="s">
        <v>6</v>
      </c>
      <c r="C361" t="s">
        <v>46</v>
      </c>
      <c r="D361" t="s">
        <v>187</v>
      </c>
      <c r="E361" t="s">
        <v>26</v>
      </c>
      <c r="F361">
        <v>0</v>
      </c>
      <c r="K361">
        <v>0</v>
      </c>
      <c r="P361">
        <v>-1.0629</v>
      </c>
      <c r="U361">
        <v>-0.62490000000000001</v>
      </c>
      <c r="Z361">
        <v>-0.44940000000000002</v>
      </c>
      <c r="AE361">
        <v>-0.3458</v>
      </c>
      <c r="AJ361">
        <v>-3.3399999999999999E-2</v>
      </c>
      <c r="CI361" t="s">
        <v>187</v>
      </c>
    </row>
    <row r="362" spans="1:87" x14ac:dyDescent="0.45">
      <c r="A362" t="s">
        <v>24</v>
      </c>
      <c r="B362" t="s">
        <v>6</v>
      </c>
      <c r="C362" t="s">
        <v>46</v>
      </c>
      <c r="D362" t="s">
        <v>188</v>
      </c>
      <c r="E362" t="s">
        <v>26</v>
      </c>
      <c r="F362">
        <v>0</v>
      </c>
      <c r="K362">
        <v>0</v>
      </c>
      <c r="P362">
        <v>0</v>
      </c>
      <c r="U362">
        <v>0</v>
      </c>
      <c r="Z362">
        <v>0.30199999999999999</v>
      </c>
      <c r="AE362">
        <v>0.5383</v>
      </c>
      <c r="AJ362">
        <v>0.54730000000000001</v>
      </c>
      <c r="CI362" t="s">
        <v>188</v>
      </c>
    </row>
    <row r="363" spans="1:87" x14ac:dyDescent="0.45">
      <c r="A363" t="s">
        <v>24</v>
      </c>
      <c r="B363" t="s">
        <v>6</v>
      </c>
      <c r="C363" t="s">
        <v>46</v>
      </c>
      <c r="D363" t="s">
        <v>189</v>
      </c>
      <c r="E363" t="s">
        <v>26</v>
      </c>
      <c r="F363">
        <v>-0.32150000000000001</v>
      </c>
      <c r="K363">
        <v>-0.51829999999999998</v>
      </c>
      <c r="P363">
        <v>-0.747</v>
      </c>
      <c r="U363">
        <v>-0.3286</v>
      </c>
      <c r="Z363">
        <v>-1.1000000000000001E-3</v>
      </c>
      <c r="AE363">
        <v>0</v>
      </c>
      <c r="AJ363">
        <v>0</v>
      </c>
      <c r="CI363" t="s">
        <v>189</v>
      </c>
    </row>
    <row r="364" spans="1:87" x14ac:dyDescent="0.45">
      <c r="A364" t="s">
        <v>24</v>
      </c>
      <c r="B364" t="s">
        <v>6</v>
      </c>
      <c r="C364" t="s">
        <v>46</v>
      </c>
      <c r="D364" t="s">
        <v>190</v>
      </c>
      <c r="E364" t="s">
        <v>26</v>
      </c>
      <c r="F364">
        <v>-8.6339000000000006</v>
      </c>
      <c r="K364">
        <v>-8.4324999999999992</v>
      </c>
      <c r="P364">
        <v>-9.2765000000000004</v>
      </c>
      <c r="U364">
        <v>-10.0541</v>
      </c>
      <c r="Z364">
        <v>-9.7728000000000002</v>
      </c>
      <c r="AE364">
        <v>-10.189399999999999</v>
      </c>
      <c r="AJ364">
        <v>-8.2674000000000003</v>
      </c>
      <c r="CI364" t="s">
        <v>190</v>
      </c>
    </row>
    <row r="365" spans="1:87" x14ac:dyDescent="0.45">
      <c r="A365" t="s">
        <v>24</v>
      </c>
      <c r="B365" t="s">
        <v>6</v>
      </c>
      <c r="C365" t="s">
        <v>46</v>
      </c>
      <c r="D365" t="s">
        <v>191</v>
      </c>
      <c r="E365" t="s">
        <v>26</v>
      </c>
      <c r="F365">
        <v>68.188799955367443</v>
      </c>
      <c r="K365">
        <v>72.543639935502569</v>
      </c>
      <c r="P365">
        <v>71.508298926253687</v>
      </c>
      <c r="U365">
        <v>74.433765339449295</v>
      </c>
      <c r="Z365">
        <v>70.668124924301594</v>
      </c>
      <c r="AE365">
        <v>67.263344921169818</v>
      </c>
      <c r="AJ365">
        <v>64.799385000945733</v>
      </c>
      <c r="CI365" t="s">
        <v>191</v>
      </c>
    </row>
    <row r="366" spans="1:87" x14ac:dyDescent="0.45">
      <c r="A366" t="s">
        <v>24</v>
      </c>
      <c r="B366" t="s">
        <v>6</v>
      </c>
      <c r="C366" t="s">
        <v>46</v>
      </c>
      <c r="D366" t="s">
        <v>192</v>
      </c>
      <c r="E366" t="s">
        <v>26</v>
      </c>
      <c r="F366">
        <v>14.84434494716108</v>
      </c>
      <c r="K366">
        <v>15.88827007790738</v>
      </c>
      <c r="P366">
        <v>17.498675175590961</v>
      </c>
      <c r="U366">
        <v>17.881615113193622</v>
      </c>
      <c r="Z366">
        <v>16.23649997726142</v>
      </c>
      <c r="AE366">
        <v>14.865529943940871</v>
      </c>
      <c r="AJ366">
        <v>14.04587500031986</v>
      </c>
      <c r="CI366" t="s">
        <v>192</v>
      </c>
    </row>
    <row r="367" spans="1:87" x14ac:dyDescent="0.45">
      <c r="A367" t="s">
        <v>24</v>
      </c>
      <c r="B367" t="s">
        <v>6</v>
      </c>
      <c r="C367" t="s">
        <v>46</v>
      </c>
      <c r="D367" t="s">
        <v>193</v>
      </c>
      <c r="E367" t="s">
        <v>26</v>
      </c>
      <c r="F367">
        <v>2.444040030591168</v>
      </c>
      <c r="K367">
        <v>2.6041199961023591</v>
      </c>
      <c r="P367">
        <v>2.695680013066017</v>
      </c>
      <c r="U367">
        <v>2.7184799984820218</v>
      </c>
      <c r="Z367">
        <v>2.780520026446538</v>
      </c>
      <c r="AE367">
        <v>3.064560002422374</v>
      </c>
      <c r="AJ367">
        <v>3.2965199999665691</v>
      </c>
      <c r="CI367" t="s">
        <v>193</v>
      </c>
    </row>
    <row r="368" spans="1:87" x14ac:dyDescent="0.45">
      <c r="A368" t="s">
        <v>24</v>
      </c>
      <c r="B368" t="s">
        <v>6</v>
      </c>
      <c r="C368" t="s">
        <v>46</v>
      </c>
      <c r="D368" t="s">
        <v>194</v>
      </c>
      <c r="E368" t="s">
        <v>26</v>
      </c>
      <c r="F368">
        <v>6.6413548325676857</v>
      </c>
      <c r="K368">
        <v>4.9711201126201701</v>
      </c>
      <c r="P368">
        <v>4.343534747593651</v>
      </c>
      <c r="U368">
        <v>4.7095650219012271</v>
      </c>
      <c r="Z368">
        <v>4.5454500546852614</v>
      </c>
      <c r="AE368">
        <v>4.9425599984847404</v>
      </c>
      <c r="AJ368">
        <v>5.4244049999533486</v>
      </c>
      <c r="CI368" t="s">
        <v>194</v>
      </c>
    </row>
    <row r="369" spans="1:87" x14ac:dyDescent="0.45">
      <c r="A369" t="s">
        <v>24</v>
      </c>
      <c r="B369" t="s">
        <v>6</v>
      </c>
      <c r="C369" t="s">
        <v>46</v>
      </c>
      <c r="D369" t="s">
        <v>195</v>
      </c>
      <c r="E369" t="s">
        <v>26</v>
      </c>
      <c r="F369">
        <v>3.0877913559379522E-9</v>
      </c>
      <c r="K369">
        <v>0.1129700031928795</v>
      </c>
      <c r="P369">
        <v>0.28005999766641798</v>
      </c>
      <c r="U369">
        <v>0.45914000030208102</v>
      </c>
      <c r="Z369">
        <v>0.65021000145462438</v>
      </c>
      <c r="AE369">
        <v>0.86592000231651767</v>
      </c>
      <c r="AJ369">
        <v>0.86999000000571947</v>
      </c>
      <c r="CI369" t="s">
        <v>195</v>
      </c>
    </row>
    <row r="370" spans="1:87" x14ac:dyDescent="0.45">
      <c r="A370" t="s">
        <v>24</v>
      </c>
      <c r="B370" t="s">
        <v>6</v>
      </c>
      <c r="C370" t="s">
        <v>46</v>
      </c>
      <c r="D370" t="s">
        <v>196</v>
      </c>
      <c r="E370" t="s">
        <v>26</v>
      </c>
      <c r="F370">
        <v>1.2532410664789499E-9</v>
      </c>
      <c r="K370">
        <v>8.3599995052095297E-2</v>
      </c>
      <c r="P370">
        <v>8.4149986272976193E-2</v>
      </c>
      <c r="U370">
        <v>0.1525699999306899</v>
      </c>
      <c r="Z370">
        <v>0.1485000001176448</v>
      </c>
      <c r="AE370">
        <v>0.1461900000216225</v>
      </c>
      <c r="AJ370">
        <v>0.14289000000077659</v>
      </c>
      <c r="CI370" t="s">
        <v>196</v>
      </c>
    </row>
    <row r="371" spans="1:87" x14ac:dyDescent="0.45">
      <c r="A371" t="s">
        <v>24</v>
      </c>
      <c r="B371" t="s">
        <v>6</v>
      </c>
      <c r="C371" t="s">
        <v>46</v>
      </c>
      <c r="D371" t="s">
        <v>197</v>
      </c>
      <c r="E371" t="s">
        <v>26</v>
      </c>
      <c r="F371">
        <v>4.8432000888783477</v>
      </c>
      <c r="K371">
        <v>7.1485999656174286</v>
      </c>
      <c r="P371">
        <v>9.0031003677994477</v>
      </c>
      <c r="U371">
        <v>8.9577000800343853</v>
      </c>
      <c r="Z371">
        <v>7.7420998755796973</v>
      </c>
      <c r="AE371">
        <v>5.5366999464603452</v>
      </c>
      <c r="AJ371">
        <v>4.2416000003385363</v>
      </c>
      <c r="CI371" t="s">
        <v>197</v>
      </c>
    </row>
    <row r="372" spans="1:87" x14ac:dyDescent="0.45">
      <c r="A372" t="s">
        <v>24</v>
      </c>
      <c r="B372" t="s">
        <v>6</v>
      </c>
      <c r="C372" t="s">
        <v>46</v>
      </c>
      <c r="D372" t="s">
        <v>198</v>
      </c>
      <c r="E372" t="s">
        <v>26</v>
      </c>
      <c r="F372">
        <v>0.91574999078284236</v>
      </c>
      <c r="K372">
        <v>0.96786000532244643</v>
      </c>
      <c r="P372">
        <v>1.092150063192449</v>
      </c>
      <c r="U372">
        <v>0.88416001254321586</v>
      </c>
      <c r="Z372">
        <v>0.36972001897765949</v>
      </c>
      <c r="AE372">
        <v>0.30959999423527051</v>
      </c>
      <c r="AJ372">
        <v>7.0470000054912801E-2</v>
      </c>
      <c r="CI372" t="s">
        <v>198</v>
      </c>
    </row>
    <row r="373" spans="1:87" x14ac:dyDescent="0.45">
      <c r="A373" t="s">
        <v>24</v>
      </c>
      <c r="B373" t="s">
        <v>6</v>
      </c>
      <c r="C373" t="s">
        <v>46</v>
      </c>
      <c r="D373" t="s">
        <v>199</v>
      </c>
      <c r="E373" t="s">
        <v>26</v>
      </c>
      <c r="F373">
        <v>27.894454985057919</v>
      </c>
      <c r="K373">
        <v>29.479969987942109</v>
      </c>
      <c r="P373">
        <v>30.06832532606693</v>
      </c>
      <c r="U373">
        <v>29.086649988331722</v>
      </c>
      <c r="Z373">
        <v>28.06932499426091</v>
      </c>
      <c r="AE373">
        <v>27.445015004760901</v>
      </c>
      <c r="AJ373">
        <v>27.450605000078411</v>
      </c>
      <c r="CI373" t="s">
        <v>199</v>
      </c>
    </row>
    <row r="374" spans="1:87" x14ac:dyDescent="0.45">
      <c r="A374" t="s">
        <v>24</v>
      </c>
      <c r="B374" t="s">
        <v>6</v>
      </c>
      <c r="C374" t="s">
        <v>46</v>
      </c>
      <c r="D374" t="s">
        <v>200</v>
      </c>
      <c r="E374" t="s">
        <v>26</v>
      </c>
      <c r="F374">
        <v>17.68574996048994</v>
      </c>
      <c r="K374">
        <v>18.80474998736144</v>
      </c>
      <c r="P374">
        <v>19.685100016212161</v>
      </c>
      <c r="U374">
        <v>20.49584999350046</v>
      </c>
      <c r="Z374">
        <v>20.96189997702254</v>
      </c>
      <c r="AE374">
        <v>21.110249984308339</v>
      </c>
      <c r="AJ374">
        <v>21.542699999981689</v>
      </c>
      <c r="CI374" t="s">
        <v>200</v>
      </c>
    </row>
    <row r="375" spans="1:87" x14ac:dyDescent="0.45">
      <c r="A375" t="s">
        <v>24</v>
      </c>
      <c r="B375" t="s">
        <v>6</v>
      </c>
      <c r="C375" t="s">
        <v>46</v>
      </c>
      <c r="D375" t="s">
        <v>201</v>
      </c>
      <c r="E375" t="s">
        <v>26</v>
      </c>
      <c r="F375">
        <v>6.7516049963308546</v>
      </c>
      <c r="K375">
        <v>5.6550900256220302</v>
      </c>
      <c r="P375">
        <v>4.9846648430221592</v>
      </c>
      <c r="U375">
        <v>4.9937999998826683</v>
      </c>
      <c r="Z375">
        <v>5.0237250156507116</v>
      </c>
      <c r="AE375">
        <v>5.2492650180416476</v>
      </c>
      <c r="AJ375">
        <v>4.8217050001245978</v>
      </c>
      <c r="CI375" t="s">
        <v>201</v>
      </c>
    </row>
    <row r="376" spans="1:87" x14ac:dyDescent="0.45">
      <c r="A376" t="s">
        <v>24</v>
      </c>
      <c r="B376" t="s">
        <v>6</v>
      </c>
      <c r="C376" t="s">
        <v>46</v>
      </c>
      <c r="D376" t="s">
        <v>202</v>
      </c>
      <c r="E376" t="s">
        <v>26</v>
      </c>
      <c r="F376">
        <v>0.4003999890157956</v>
      </c>
      <c r="K376">
        <v>0.26212999247119928</v>
      </c>
      <c r="P376">
        <v>3.3659958792583197E-2</v>
      </c>
      <c r="U376">
        <v>0</v>
      </c>
      <c r="Z376">
        <v>0</v>
      </c>
      <c r="AE376">
        <v>0</v>
      </c>
      <c r="AJ376">
        <v>3.4099999994595301E-2</v>
      </c>
      <c r="CI376" t="s">
        <v>202</v>
      </c>
    </row>
    <row r="377" spans="1:87" x14ac:dyDescent="0.45">
      <c r="A377" t="s">
        <v>24</v>
      </c>
      <c r="B377" t="s">
        <v>6</v>
      </c>
      <c r="C377" t="s">
        <v>46</v>
      </c>
      <c r="D377" t="s">
        <v>203</v>
      </c>
      <c r="E377" t="s">
        <v>26</v>
      </c>
      <c r="F377">
        <v>3.056700038373378</v>
      </c>
      <c r="K377">
        <v>4.7579999824874326</v>
      </c>
      <c r="P377">
        <v>5.3649005080400229</v>
      </c>
      <c r="U377">
        <v>3.5969999949485971</v>
      </c>
      <c r="Z377">
        <v>2.0837000015876579</v>
      </c>
      <c r="AE377">
        <v>1.08550000241091</v>
      </c>
      <c r="AJ377">
        <v>1.052099999977538</v>
      </c>
      <c r="CI377" t="s">
        <v>203</v>
      </c>
    </row>
    <row r="378" spans="1:87" x14ac:dyDescent="0.45">
      <c r="A378" t="s">
        <v>24</v>
      </c>
      <c r="B378" t="s">
        <v>6</v>
      </c>
      <c r="C378" t="s">
        <v>46</v>
      </c>
      <c r="D378" t="s">
        <v>204</v>
      </c>
      <c r="E378" t="s">
        <v>26</v>
      </c>
      <c r="F378">
        <v>8.4795104271506716E-10</v>
      </c>
      <c r="K378">
        <v>0</v>
      </c>
      <c r="P378">
        <v>0</v>
      </c>
      <c r="U378">
        <v>0</v>
      </c>
      <c r="Z378">
        <v>0</v>
      </c>
      <c r="AE378">
        <v>0</v>
      </c>
      <c r="AJ378">
        <v>0</v>
      </c>
      <c r="CI378" t="s">
        <v>204</v>
      </c>
    </row>
    <row r="379" spans="1:87" x14ac:dyDescent="0.45">
      <c r="A379" t="s">
        <v>24</v>
      </c>
      <c r="B379" t="s">
        <v>6</v>
      </c>
      <c r="C379" t="s">
        <v>46</v>
      </c>
      <c r="D379" t="s">
        <v>205</v>
      </c>
      <c r="E379" t="s">
        <v>26</v>
      </c>
      <c r="F379">
        <v>25.450000023148441</v>
      </c>
      <c r="K379">
        <v>27.175399869653091</v>
      </c>
      <c r="P379">
        <v>23.9412984245958</v>
      </c>
      <c r="U379">
        <v>27.465500237923951</v>
      </c>
      <c r="Z379">
        <v>26.362299952779271</v>
      </c>
      <c r="AE379">
        <v>24.952799972468039</v>
      </c>
      <c r="AJ379">
        <v>23.302905000547451</v>
      </c>
      <c r="CI379" t="s">
        <v>205</v>
      </c>
    </row>
    <row r="380" spans="1:87" x14ac:dyDescent="0.45">
      <c r="A380" t="s">
        <v>24</v>
      </c>
      <c r="B380" t="s">
        <v>6</v>
      </c>
      <c r="C380" t="s">
        <v>46</v>
      </c>
      <c r="D380" t="s">
        <v>206</v>
      </c>
      <c r="E380" t="s">
        <v>26</v>
      </c>
      <c r="F380">
        <v>9.3199998324671102E-2</v>
      </c>
      <c r="K380">
        <v>8.1600000535476405E-2</v>
      </c>
      <c r="P380">
        <v>7.7999876869228005E-2</v>
      </c>
      <c r="U380">
        <v>0.63000001461205102</v>
      </c>
      <c r="Z380">
        <v>1.6148000576363299</v>
      </c>
      <c r="AE380">
        <v>3.309799965895976</v>
      </c>
      <c r="AJ380">
        <v>6.216599999997225</v>
      </c>
      <c r="CI380" t="s">
        <v>206</v>
      </c>
    </row>
    <row r="381" spans="1:87" x14ac:dyDescent="0.45">
      <c r="A381" t="s">
        <v>24</v>
      </c>
      <c r="B381" t="s">
        <v>6</v>
      </c>
      <c r="C381" t="s">
        <v>46</v>
      </c>
      <c r="D381" t="s">
        <v>207</v>
      </c>
      <c r="E381" t="s">
        <v>26</v>
      </c>
      <c r="F381">
        <v>7.7437789514078759E-9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0.74560499986010742</v>
      </c>
      <c r="CI381" t="s">
        <v>207</v>
      </c>
    </row>
    <row r="382" spans="1:87" x14ac:dyDescent="0.45">
      <c r="A382" t="s">
        <v>24</v>
      </c>
      <c r="B382" t="s">
        <v>6</v>
      </c>
      <c r="C382" t="s">
        <v>46</v>
      </c>
      <c r="D382" t="s">
        <v>208</v>
      </c>
      <c r="E382" t="s">
        <v>26</v>
      </c>
      <c r="F382">
        <v>25.356800017079991</v>
      </c>
      <c r="K382">
        <v>27.093799869117621</v>
      </c>
      <c r="P382">
        <v>23.863298547726568</v>
      </c>
      <c r="U382">
        <v>26.8355002233119</v>
      </c>
      <c r="Z382">
        <v>24.747499895142941</v>
      </c>
      <c r="AE382">
        <v>21.643000006572059</v>
      </c>
      <c r="AJ382">
        <v>16.34070000069012</v>
      </c>
      <c r="CI382" t="s">
        <v>208</v>
      </c>
    </row>
    <row r="383" spans="1:87" x14ac:dyDescent="0.45">
      <c r="A383" t="s">
        <v>24</v>
      </c>
      <c r="B383" t="s">
        <v>4</v>
      </c>
      <c r="C383" t="s">
        <v>46</v>
      </c>
      <c r="D383" t="s">
        <v>60</v>
      </c>
      <c r="E383" t="s">
        <v>48</v>
      </c>
      <c r="F383">
        <v>0</v>
      </c>
      <c r="K383">
        <v>0</v>
      </c>
      <c r="P383">
        <v>0</v>
      </c>
      <c r="U383">
        <v>0</v>
      </c>
      <c r="Z383">
        <v>0</v>
      </c>
      <c r="AE383">
        <v>0</v>
      </c>
      <c r="AJ383">
        <v>0</v>
      </c>
      <c r="CI383" t="s">
        <v>60</v>
      </c>
    </row>
    <row r="384" spans="1:87" x14ac:dyDescent="0.45">
      <c r="A384" t="s">
        <v>24</v>
      </c>
      <c r="B384" t="s">
        <v>4</v>
      </c>
      <c r="C384" t="s">
        <v>46</v>
      </c>
      <c r="D384" t="s">
        <v>62</v>
      </c>
      <c r="E384" t="s">
        <v>48</v>
      </c>
      <c r="F384">
        <v>164.1953</v>
      </c>
      <c r="K384">
        <v>150.63849999999999</v>
      </c>
      <c r="P384">
        <v>136.48410000000001</v>
      </c>
      <c r="U384">
        <v>122.4213</v>
      </c>
      <c r="Z384">
        <v>107.9284</v>
      </c>
      <c r="AE384">
        <v>93.550200000000004</v>
      </c>
      <c r="AJ384">
        <v>79.118399999999994</v>
      </c>
      <c r="CI384" t="s">
        <v>62</v>
      </c>
    </row>
    <row r="385" spans="1:87" x14ac:dyDescent="0.45">
      <c r="A385" t="s">
        <v>24</v>
      </c>
      <c r="B385" t="s">
        <v>4</v>
      </c>
      <c r="C385" t="s">
        <v>46</v>
      </c>
      <c r="D385" t="s">
        <v>63</v>
      </c>
      <c r="E385" t="s">
        <v>48</v>
      </c>
      <c r="F385">
        <v>-1429.8635999999999</v>
      </c>
      <c r="K385">
        <v>-1535.3831</v>
      </c>
      <c r="P385">
        <v>-1697.2665</v>
      </c>
      <c r="U385">
        <v>-1740.5916999999999</v>
      </c>
      <c r="Z385">
        <v>-1782.0984000000001</v>
      </c>
      <c r="AE385">
        <v>-1821.3253</v>
      </c>
      <c r="AJ385">
        <v>-1859.3200999999999</v>
      </c>
      <c r="CI385" t="s">
        <v>63</v>
      </c>
    </row>
    <row r="386" spans="1:87" x14ac:dyDescent="0.45">
      <c r="A386" t="s">
        <v>24</v>
      </c>
      <c r="B386" t="s">
        <v>4</v>
      </c>
      <c r="C386" t="s">
        <v>46</v>
      </c>
      <c r="D386" t="s">
        <v>64</v>
      </c>
      <c r="E386" t="s">
        <v>48</v>
      </c>
      <c r="F386">
        <v>-534.70759999999996</v>
      </c>
      <c r="K386">
        <v>-641.64909999999998</v>
      </c>
      <c r="P386">
        <v>-748.59059999999999</v>
      </c>
      <c r="U386">
        <v>-775.32600000000002</v>
      </c>
      <c r="Z386">
        <v>-802.06140000000005</v>
      </c>
      <c r="AE386">
        <v>-828.79669999999999</v>
      </c>
      <c r="AJ386">
        <v>-855.53210000000001</v>
      </c>
      <c r="CI386" t="s">
        <v>64</v>
      </c>
    </row>
    <row r="387" spans="1:87" x14ac:dyDescent="0.45">
      <c r="A387" t="s">
        <v>24</v>
      </c>
      <c r="B387" t="s">
        <v>4</v>
      </c>
      <c r="C387" t="s">
        <v>46</v>
      </c>
      <c r="D387" t="s">
        <v>65</v>
      </c>
      <c r="E387" t="s">
        <v>66</v>
      </c>
      <c r="F387">
        <v>4742.3231999999998</v>
      </c>
      <c r="K387">
        <v>4966.3845000000001</v>
      </c>
      <c r="P387">
        <v>4451.4670999999998</v>
      </c>
      <c r="U387">
        <v>4397.1535999999996</v>
      </c>
      <c r="Z387">
        <v>3951.3490999999999</v>
      </c>
      <c r="AE387">
        <v>4029.0605</v>
      </c>
      <c r="AJ387">
        <v>4092.4819000000002</v>
      </c>
      <c r="CI387" t="s">
        <v>65</v>
      </c>
    </row>
    <row r="388" spans="1:87" x14ac:dyDescent="0.45">
      <c r="A388" t="s">
        <v>24</v>
      </c>
      <c r="B388" t="s">
        <v>4</v>
      </c>
      <c r="C388" t="s">
        <v>46</v>
      </c>
      <c r="D388" t="s">
        <v>67</v>
      </c>
      <c r="E388" t="s">
        <v>66</v>
      </c>
      <c r="F388">
        <v>1230.5565999999999</v>
      </c>
      <c r="K388">
        <v>1185.8623</v>
      </c>
      <c r="P388">
        <v>1058.6960999999999</v>
      </c>
      <c r="U388">
        <v>967.78139999999996</v>
      </c>
      <c r="Z388">
        <v>1084.6786</v>
      </c>
      <c r="AE388">
        <v>1100.2535</v>
      </c>
      <c r="AJ388">
        <v>998.74869999999999</v>
      </c>
      <c r="CI388" t="s">
        <v>67</v>
      </c>
    </row>
    <row r="389" spans="1:87" x14ac:dyDescent="0.45">
      <c r="A389" t="s">
        <v>24</v>
      </c>
      <c r="B389" t="s">
        <v>4</v>
      </c>
      <c r="C389" t="s">
        <v>46</v>
      </c>
      <c r="D389" t="s">
        <v>68</v>
      </c>
      <c r="E389" t="s">
        <v>26</v>
      </c>
      <c r="F389">
        <v>64.615799999999993</v>
      </c>
      <c r="K389">
        <v>69.883899999999997</v>
      </c>
      <c r="P389">
        <v>69.078100000000006</v>
      </c>
      <c r="U389">
        <v>74.259200000000007</v>
      </c>
      <c r="Z389">
        <v>74.318600000000004</v>
      </c>
      <c r="AE389">
        <v>75.593199999999996</v>
      </c>
      <c r="AJ389">
        <v>76.240899999999996</v>
      </c>
      <c r="CI389" t="s">
        <v>68</v>
      </c>
    </row>
    <row r="390" spans="1:87" x14ac:dyDescent="0.45">
      <c r="A390" t="s">
        <v>24</v>
      </c>
      <c r="B390" t="s">
        <v>4</v>
      </c>
      <c r="C390" t="s">
        <v>46</v>
      </c>
      <c r="D390" t="s">
        <v>69</v>
      </c>
      <c r="E390" t="s">
        <v>26</v>
      </c>
      <c r="F390">
        <v>13.873799999999999</v>
      </c>
      <c r="K390">
        <v>14.739699999999999</v>
      </c>
      <c r="P390">
        <v>15.3969</v>
      </c>
      <c r="U390">
        <v>16.1189</v>
      </c>
      <c r="Z390">
        <v>16.750699999999998</v>
      </c>
      <c r="AE390">
        <v>17.4971</v>
      </c>
      <c r="AJ390">
        <v>18.264099999999999</v>
      </c>
      <c r="CI390" t="s">
        <v>69</v>
      </c>
    </row>
    <row r="391" spans="1:87" x14ac:dyDescent="0.45">
      <c r="A391" t="s">
        <v>24</v>
      </c>
      <c r="B391" t="s">
        <v>4</v>
      </c>
      <c r="C391" t="s">
        <v>46</v>
      </c>
      <c r="D391" t="s">
        <v>70</v>
      </c>
      <c r="E391" t="s">
        <v>26</v>
      </c>
      <c r="F391">
        <v>12.7552</v>
      </c>
      <c r="K391">
        <v>10.1812</v>
      </c>
      <c r="P391">
        <v>8.9634</v>
      </c>
      <c r="U391">
        <v>9.9289000000000005</v>
      </c>
      <c r="Z391">
        <v>10.958600000000001</v>
      </c>
      <c r="AE391">
        <v>12.5816</v>
      </c>
      <c r="AJ391">
        <v>13.299799999999999</v>
      </c>
      <c r="CI391" t="s">
        <v>70</v>
      </c>
    </row>
    <row r="392" spans="1:87" x14ac:dyDescent="0.45">
      <c r="A392" t="s">
        <v>24</v>
      </c>
      <c r="B392" t="s">
        <v>4</v>
      </c>
      <c r="C392" t="s">
        <v>46</v>
      </c>
      <c r="D392" t="s">
        <v>71</v>
      </c>
      <c r="E392" t="s">
        <v>26</v>
      </c>
      <c r="F392">
        <v>0.36399999999999999</v>
      </c>
      <c r="K392">
        <v>0.3397</v>
      </c>
      <c r="P392">
        <v>0.28439999999999999</v>
      </c>
      <c r="U392">
        <v>0.30049999999999999</v>
      </c>
      <c r="Z392">
        <v>0.15340000000000001</v>
      </c>
      <c r="AE392">
        <v>0.15340000000000001</v>
      </c>
      <c r="AJ392">
        <v>0.13719999999999999</v>
      </c>
      <c r="CI392" t="s">
        <v>71</v>
      </c>
    </row>
    <row r="393" spans="1:87" x14ac:dyDescent="0.45">
      <c r="A393" t="s">
        <v>24</v>
      </c>
      <c r="B393" t="s">
        <v>4</v>
      </c>
      <c r="C393" t="s">
        <v>46</v>
      </c>
      <c r="D393" t="s">
        <v>72</v>
      </c>
      <c r="E393" t="s">
        <v>26</v>
      </c>
      <c r="F393">
        <v>0</v>
      </c>
      <c r="K393">
        <v>7.6100000000000001E-2</v>
      </c>
      <c r="P393">
        <v>7.6600000000000001E-2</v>
      </c>
      <c r="U393">
        <v>0.16170000000000001</v>
      </c>
      <c r="Z393">
        <v>0.25</v>
      </c>
      <c r="AE393">
        <v>0.30320000000000003</v>
      </c>
      <c r="AJ393">
        <v>0.30480000000000002</v>
      </c>
      <c r="CI393" t="s">
        <v>72</v>
      </c>
    </row>
    <row r="394" spans="1:87" x14ac:dyDescent="0.45">
      <c r="A394" t="s">
        <v>24</v>
      </c>
      <c r="B394" t="s">
        <v>4</v>
      </c>
      <c r="C394" t="s">
        <v>46</v>
      </c>
      <c r="D394" t="s">
        <v>73</v>
      </c>
      <c r="E394" t="s">
        <v>26</v>
      </c>
      <c r="F394">
        <v>14.788500000000001</v>
      </c>
      <c r="K394">
        <v>16.106999999999999</v>
      </c>
      <c r="P394">
        <v>17.7346</v>
      </c>
      <c r="U394">
        <v>17.942499999999999</v>
      </c>
      <c r="Z394">
        <v>17.946899999999999</v>
      </c>
      <c r="AE394">
        <v>18.736499999999999</v>
      </c>
      <c r="AJ394">
        <v>18.919699999999999</v>
      </c>
      <c r="CI394" t="s">
        <v>73</v>
      </c>
    </row>
    <row r="395" spans="1:87" x14ac:dyDescent="0.45">
      <c r="A395" t="s">
        <v>24</v>
      </c>
      <c r="B395" t="s">
        <v>4</v>
      </c>
      <c r="C395" t="s">
        <v>46</v>
      </c>
      <c r="D395" t="s">
        <v>74</v>
      </c>
      <c r="E395" t="s">
        <v>26</v>
      </c>
      <c r="F395">
        <v>6.3250999999999999</v>
      </c>
      <c r="K395">
        <v>4.7404999999999999</v>
      </c>
      <c r="P395">
        <v>4.1456999999999997</v>
      </c>
      <c r="U395">
        <v>5.0980999999999996</v>
      </c>
      <c r="Z395">
        <v>5.7126999999999999</v>
      </c>
      <c r="AE395">
        <v>6.8832000000000004</v>
      </c>
      <c r="AJ395">
        <v>7.5597000000000003</v>
      </c>
      <c r="CI395" t="s">
        <v>74</v>
      </c>
    </row>
    <row r="396" spans="1:87" x14ac:dyDescent="0.45">
      <c r="A396" t="s">
        <v>24</v>
      </c>
      <c r="B396" t="s">
        <v>4</v>
      </c>
      <c r="C396" t="s">
        <v>46</v>
      </c>
      <c r="D396" t="s">
        <v>75</v>
      </c>
      <c r="E396" t="s">
        <v>26</v>
      </c>
      <c r="F396">
        <v>0</v>
      </c>
      <c r="K396">
        <v>0.1024</v>
      </c>
      <c r="P396">
        <v>0.254</v>
      </c>
      <c r="U396">
        <v>7.2800000000000004E-2</v>
      </c>
      <c r="Z396">
        <v>0.15340000000000001</v>
      </c>
      <c r="AE396">
        <v>0.15340000000000001</v>
      </c>
      <c r="AJ396">
        <v>0.13719999999999999</v>
      </c>
      <c r="CI396" t="s">
        <v>75</v>
      </c>
    </row>
    <row r="397" spans="1:87" x14ac:dyDescent="0.45">
      <c r="A397" t="s">
        <v>24</v>
      </c>
      <c r="B397" t="s">
        <v>4</v>
      </c>
      <c r="C397" t="s">
        <v>46</v>
      </c>
      <c r="D397" t="s">
        <v>76</v>
      </c>
      <c r="E397" t="s">
        <v>26</v>
      </c>
      <c r="F397">
        <v>0</v>
      </c>
      <c r="K397">
        <v>7.6100000000000001E-2</v>
      </c>
      <c r="P397">
        <v>7.6600000000000001E-2</v>
      </c>
      <c r="U397">
        <v>0.16170000000000001</v>
      </c>
      <c r="Z397">
        <v>0.25</v>
      </c>
      <c r="AE397">
        <v>0.30320000000000003</v>
      </c>
      <c r="AJ397">
        <v>0.30480000000000002</v>
      </c>
      <c r="CI397" t="s">
        <v>76</v>
      </c>
    </row>
    <row r="398" spans="1:87" x14ac:dyDescent="0.45">
      <c r="A398" t="s">
        <v>24</v>
      </c>
      <c r="B398" t="s">
        <v>4</v>
      </c>
      <c r="C398" t="s">
        <v>46</v>
      </c>
      <c r="D398" t="s">
        <v>77</v>
      </c>
      <c r="E398" t="s">
        <v>26</v>
      </c>
      <c r="F398">
        <v>4.8432000000000004</v>
      </c>
      <c r="K398">
        <v>7.1950000000000003</v>
      </c>
      <c r="P398">
        <v>9.0723000000000003</v>
      </c>
      <c r="U398">
        <v>9.3995999999999995</v>
      </c>
      <c r="Z398">
        <v>9.7273999999999994</v>
      </c>
      <c r="AE398">
        <v>9.7972999999999999</v>
      </c>
      <c r="AJ398">
        <v>9.0611999999999995</v>
      </c>
      <c r="CI398" t="s">
        <v>77</v>
      </c>
    </row>
    <row r="399" spans="1:87" x14ac:dyDescent="0.45">
      <c r="A399" t="s">
        <v>24</v>
      </c>
      <c r="B399" t="s">
        <v>4</v>
      </c>
      <c r="C399" t="s">
        <v>46</v>
      </c>
      <c r="D399" t="s">
        <v>78</v>
      </c>
      <c r="E399" t="s">
        <v>26</v>
      </c>
      <c r="F399">
        <v>0.44779999999999998</v>
      </c>
      <c r="K399">
        <v>0.65969999999999995</v>
      </c>
      <c r="P399">
        <v>1.0099</v>
      </c>
      <c r="U399">
        <v>0.89290000000000003</v>
      </c>
      <c r="Z399">
        <v>0.98519999999999996</v>
      </c>
      <c r="AE399">
        <v>0.83709999999999996</v>
      </c>
      <c r="AJ399">
        <v>0.70179999999999998</v>
      </c>
      <c r="CI399" t="s">
        <v>78</v>
      </c>
    </row>
    <row r="400" spans="1:87" x14ac:dyDescent="0.45">
      <c r="A400" t="s">
        <v>24</v>
      </c>
      <c r="B400" t="s">
        <v>4</v>
      </c>
      <c r="C400" t="s">
        <v>46</v>
      </c>
      <c r="D400" t="s">
        <v>79</v>
      </c>
      <c r="E400" t="s">
        <v>26</v>
      </c>
      <c r="F400">
        <v>4.4090999999999996</v>
      </c>
      <c r="K400">
        <v>6.5534999999999997</v>
      </c>
      <c r="P400">
        <v>8.0807000000000002</v>
      </c>
      <c r="U400">
        <v>8.5283999999999995</v>
      </c>
      <c r="Z400">
        <v>8.7673000000000005</v>
      </c>
      <c r="AE400">
        <v>8.9856999999999996</v>
      </c>
      <c r="AJ400">
        <v>8.3832000000000004</v>
      </c>
      <c r="CI400" t="s">
        <v>79</v>
      </c>
    </row>
    <row r="401" spans="1:87" x14ac:dyDescent="0.45">
      <c r="A401" t="s">
        <v>24</v>
      </c>
      <c r="B401" t="s">
        <v>4</v>
      </c>
      <c r="C401" t="s">
        <v>46</v>
      </c>
      <c r="D401" t="s">
        <v>80</v>
      </c>
      <c r="E401" t="s">
        <v>26</v>
      </c>
      <c r="F401">
        <v>1.0175000000000001</v>
      </c>
      <c r="K401">
        <v>1.1044</v>
      </c>
      <c r="P401">
        <v>1.2479</v>
      </c>
      <c r="U401">
        <v>1.2986</v>
      </c>
      <c r="Z401">
        <v>1.0468999999999999</v>
      </c>
      <c r="AE401">
        <v>1.0785</v>
      </c>
      <c r="AJ401">
        <v>1.2262999999999999</v>
      </c>
      <c r="CI401" t="s">
        <v>80</v>
      </c>
    </row>
    <row r="402" spans="1:87" x14ac:dyDescent="0.45">
      <c r="A402" t="s">
        <v>24</v>
      </c>
      <c r="B402" t="s">
        <v>4</v>
      </c>
      <c r="C402" t="s">
        <v>46</v>
      </c>
      <c r="D402" t="s">
        <v>81</v>
      </c>
      <c r="E402" t="s">
        <v>26</v>
      </c>
      <c r="F402">
        <v>0.2281</v>
      </c>
      <c r="K402">
        <v>0.22239999999999999</v>
      </c>
      <c r="P402">
        <v>0</v>
      </c>
      <c r="U402">
        <v>7.0199999999999999E-2</v>
      </c>
      <c r="Z402">
        <v>0</v>
      </c>
      <c r="AE402">
        <v>0</v>
      </c>
      <c r="AJ402">
        <v>0</v>
      </c>
      <c r="CI402" t="s">
        <v>81</v>
      </c>
    </row>
    <row r="403" spans="1:87" x14ac:dyDescent="0.45">
      <c r="A403" t="s">
        <v>24</v>
      </c>
      <c r="B403" t="s">
        <v>4</v>
      </c>
      <c r="C403" t="s">
        <v>46</v>
      </c>
      <c r="D403" t="s">
        <v>82</v>
      </c>
      <c r="E403" t="s">
        <v>26</v>
      </c>
      <c r="F403">
        <v>0.80279999999999996</v>
      </c>
      <c r="K403">
        <v>0.89739999999999998</v>
      </c>
      <c r="P403">
        <v>1.2629999999999999</v>
      </c>
      <c r="U403">
        <v>1.2436</v>
      </c>
      <c r="Z403">
        <v>1.0616000000000001</v>
      </c>
      <c r="AE403">
        <v>1.0922000000000001</v>
      </c>
      <c r="AJ403">
        <v>1.2388999999999999</v>
      </c>
      <c r="CI403" t="s">
        <v>82</v>
      </c>
    </row>
    <row r="404" spans="1:87" x14ac:dyDescent="0.45">
      <c r="A404" t="s">
        <v>24</v>
      </c>
      <c r="B404" t="s">
        <v>4</v>
      </c>
      <c r="C404" t="s">
        <v>46</v>
      </c>
      <c r="D404" t="s">
        <v>83</v>
      </c>
      <c r="E404" t="s">
        <v>26</v>
      </c>
      <c r="F404">
        <v>33.256599999999999</v>
      </c>
      <c r="K404">
        <v>39.058199999999999</v>
      </c>
      <c r="P404">
        <v>38.323999999999998</v>
      </c>
      <c r="U404">
        <v>41.719099999999997</v>
      </c>
      <c r="Z404">
        <v>40.593200000000003</v>
      </c>
      <c r="AE404">
        <v>39.2973</v>
      </c>
      <c r="AJ404">
        <v>37.844000000000001</v>
      </c>
      <c r="CI404" t="s">
        <v>83</v>
      </c>
    </row>
    <row r="405" spans="1:87" x14ac:dyDescent="0.45">
      <c r="A405" t="s">
        <v>24</v>
      </c>
      <c r="B405" t="s">
        <v>4</v>
      </c>
      <c r="C405" t="s">
        <v>46</v>
      </c>
      <c r="D405" t="s">
        <v>84</v>
      </c>
      <c r="E405" t="s">
        <v>26</v>
      </c>
      <c r="F405">
        <v>22.0977</v>
      </c>
      <c r="K405">
        <v>23.875</v>
      </c>
      <c r="P405">
        <v>24.7986</v>
      </c>
      <c r="U405">
        <v>24.988099999999999</v>
      </c>
      <c r="Z405">
        <v>24.8565</v>
      </c>
      <c r="AE405">
        <v>24.782800000000002</v>
      </c>
      <c r="AJ405">
        <v>25.075500000000002</v>
      </c>
      <c r="CI405" t="s">
        <v>84</v>
      </c>
    </row>
    <row r="406" spans="1:87" x14ac:dyDescent="0.45">
      <c r="A406" t="s">
        <v>24</v>
      </c>
      <c r="B406" t="s">
        <v>4</v>
      </c>
      <c r="C406" t="s">
        <v>46</v>
      </c>
      <c r="D406" t="s">
        <v>85</v>
      </c>
      <c r="E406" t="s">
        <v>26</v>
      </c>
      <c r="F406">
        <v>6.4301000000000004</v>
      </c>
      <c r="K406">
        <v>5.4406999999999996</v>
      </c>
      <c r="P406">
        <v>4.8177000000000003</v>
      </c>
      <c r="U406">
        <v>4.8308999999999997</v>
      </c>
      <c r="Z406">
        <v>5.2458999999999998</v>
      </c>
      <c r="AE406">
        <v>5.6984000000000004</v>
      </c>
      <c r="AJ406">
        <v>5.7401</v>
      </c>
      <c r="CI406" t="s">
        <v>85</v>
      </c>
    </row>
    <row r="407" spans="1:87" x14ac:dyDescent="0.45">
      <c r="A407" t="s">
        <v>24</v>
      </c>
      <c r="B407" t="s">
        <v>4</v>
      </c>
      <c r="C407" t="s">
        <v>46</v>
      </c>
      <c r="D407" t="s">
        <v>86</v>
      </c>
      <c r="E407" t="s">
        <v>26</v>
      </c>
      <c r="F407">
        <v>0.36399999999999999</v>
      </c>
      <c r="K407">
        <v>0.23730000000000001</v>
      </c>
      <c r="P407">
        <v>3.04E-2</v>
      </c>
      <c r="U407">
        <v>0.2276</v>
      </c>
      <c r="Z407">
        <v>0</v>
      </c>
      <c r="AE407">
        <v>0</v>
      </c>
      <c r="AJ407">
        <v>0</v>
      </c>
      <c r="CI407" t="s">
        <v>86</v>
      </c>
    </row>
    <row r="408" spans="1:87" x14ac:dyDescent="0.45">
      <c r="A408" t="s">
        <v>24</v>
      </c>
      <c r="B408" t="s">
        <v>4</v>
      </c>
      <c r="C408" t="s">
        <v>46</v>
      </c>
      <c r="D408" t="s">
        <v>87</v>
      </c>
      <c r="E408" t="s">
        <v>26</v>
      </c>
      <c r="F408">
        <v>0</v>
      </c>
      <c r="K408">
        <v>0</v>
      </c>
      <c r="P408">
        <v>0</v>
      </c>
      <c r="U408">
        <v>0</v>
      </c>
      <c r="Z408">
        <v>0</v>
      </c>
      <c r="AE408">
        <v>0</v>
      </c>
      <c r="AJ408">
        <v>0</v>
      </c>
      <c r="CI408" t="s">
        <v>87</v>
      </c>
    </row>
    <row r="409" spans="1:87" x14ac:dyDescent="0.45">
      <c r="A409" t="s">
        <v>24</v>
      </c>
      <c r="B409" t="s">
        <v>4</v>
      </c>
      <c r="C409" t="s">
        <v>46</v>
      </c>
      <c r="D409" t="s">
        <v>88</v>
      </c>
      <c r="E409" t="s">
        <v>26</v>
      </c>
      <c r="F409">
        <v>3.0567000000000002</v>
      </c>
      <c r="K409">
        <v>4.7359999999999998</v>
      </c>
      <c r="P409">
        <v>5.3308999999999997</v>
      </c>
      <c r="U409">
        <v>3.6101999999999999</v>
      </c>
      <c r="Z409">
        <v>2.1017000000000001</v>
      </c>
      <c r="AE409">
        <v>1.1869000000000001</v>
      </c>
      <c r="AJ409">
        <v>1.1818</v>
      </c>
      <c r="CI409" t="s">
        <v>88</v>
      </c>
    </row>
    <row r="410" spans="1:87" x14ac:dyDescent="0.45">
      <c r="A410" t="s">
        <v>24</v>
      </c>
      <c r="B410" t="s">
        <v>4</v>
      </c>
      <c r="C410" t="s">
        <v>46</v>
      </c>
      <c r="D410" t="s">
        <v>89</v>
      </c>
      <c r="E410" t="s">
        <v>26</v>
      </c>
      <c r="F410">
        <v>1.9199999999999998E-2</v>
      </c>
      <c r="K410">
        <v>0.31490000000000001</v>
      </c>
      <c r="P410">
        <v>7.7499999999999999E-2</v>
      </c>
      <c r="U410">
        <v>5.57E-2</v>
      </c>
      <c r="Z410">
        <v>4.1500000000000002E-2</v>
      </c>
      <c r="AE410">
        <v>2.3400000000000001E-2</v>
      </c>
      <c r="AJ410">
        <v>2.4299999999999999E-2</v>
      </c>
      <c r="CI410" t="s">
        <v>89</v>
      </c>
    </row>
    <row r="411" spans="1:87" x14ac:dyDescent="0.45">
      <c r="A411" t="s">
        <v>24</v>
      </c>
      <c r="B411" t="s">
        <v>4</v>
      </c>
      <c r="C411" t="s">
        <v>46</v>
      </c>
      <c r="D411" t="s">
        <v>90</v>
      </c>
      <c r="E411" t="s">
        <v>26</v>
      </c>
      <c r="F411">
        <v>3.1355</v>
      </c>
      <c r="K411">
        <v>4.5275999999999996</v>
      </c>
      <c r="P411">
        <v>5.3468</v>
      </c>
      <c r="U411">
        <v>3.6105</v>
      </c>
      <c r="Z411">
        <v>2.0905999999999998</v>
      </c>
      <c r="AE411">
        <v>1.1819999999999999</v>
      </c>
      <c r="AJ411">
        <v>1.171</v>
      </c>
      <c r="CI411" t="s">
        <v>90</v>
      </c>
    </row>
    <row r="412" spans="1:87" x14ac:dyDescent="0.45">
      <c r="A412" t="s">
        <v>24</v>
      </c>
      <c r="B412" t="s">
        <v>4</v>
      </c>
      <c r="C412" t="s">
        <v>46</v>
      </c>
      <c r="D412" t="s">
        <v>91</v>
      </c>
      <c r="E412" t="s">
        <v>26</v>
      </c>
      <c r="F412">
        <v>0</v>
      </c>
      <c r="K412">
        <v>0</v>
      </c>
      <c r="P412">
        <v>0</v>
      </c>
      <c r="U412">
        <v>0</v>
      </c>
      <c r="Z412">
        <v>0</v>
      </c>
      <c r="AE412">
        <v>0</v>
      </c>
      <c r="AJ412">
        <v>0</v>
      </c>
      <c r="CI412" t="s">
        <v>91</v>
      </c>
    </row>
    <row r="413" spans="1:87" x14ac:dyDescent="0.45">
      <c r="A413" t="s">
        <v>24</v>
      </c>
      <c r="B413" t="s">
        <v>4</v>
      </c>
      <c r="C413" t="s">
        <v>46</v>
      </c>
      <c r="D413" t="s">
        <v>92</v>
      </c>
      <c r="E413" t="s">
        <v>26</v>
      </c>
      <c r="F413">
        <v>0</v>
      </c>
      <c r="K413">
        <v>0</v>
      </c>
      <c r="P413">
        <v>0</v>
      </c>
      <c r="U413">
        <v>0</v>
      </c>
      <c r="Z413">
        <v>0</v>
      </c>
      <c r="AE413">
        <v>0</v>
      </c>
      <c r="AJ413">
        <v>0</v>
      </c>
      <c r="CI413" t="s">
        <v>92</v>
      </c>
    </row>
    <row r="414" spans="1:87" x14ac:dyDescent="0.45">
      <c r="A414" t="s">
        <v>24</v>
      </c>
      <c r="B414" t="s">
        <v>4</v>
      </c>
      <c r="C414" t="s">
        <v>46</v>
      </c>
      <c r="D414" t="s">
        <v>93</v>
      </c>
      <c r="E414" t="s">
        <v>26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93</v>
      </c>
    </row>
    <row r="415" spans="1:87" x14ac:dyDescent="0.45">
      <c r="A415" t="s">
        <v>24</v>
      </c>
      <c r="B415" t="s">
        <v>4</v>
      </c>
      <c r="C415" t="s">
        <v>46</v>
      </c>
      <c r="D415" t="s">
        <v>94</v>
      </c>
      <c r="E415" t="s">
        <v>26</v>
      </c>
      <c r="F415">
        <v>1.0175000000000001</v>
      </c>
      <c r="K415">
        <v>1.1044</v>
      </c>
      <c r="P415">
        <v>1.2479</v>
      </c>
      <c r="U415">
        <v>1.2986</v>
      </c>
      <c r="Z415">
        <v>1.0468999999999999</v>
      </c>
      <c r="AE415">
        <v>1.0785</v>
      </c>
      <c r="AJ415">
        <v>1.2262999999999999</v>
      </c>
      <c r="CI415" t="s">
        <v>94</v>
      </c>
    </row>
    <row r="416" spans="1:87" x14ac:dyDescent="0.45">
      <c r="A416" t="s">
        <v>24</v>
      </c>
      <c r="B416" t="s">
        <v>4</v>
      </c>
      <c r="C416" t="s">
        <v>46</v>
      </c>
      <c r="D416" t="s">
        <v>95</v>
      </c>
      <c r="E416" t="s">
        <v>26</v>
      </c>
      <c r="F416">
        <v>25.294</v>
      </c>
      <c r="K416">
        <v>27.0167</v>
      </c>
      <c r="P416">
        <v>23.832899999999999</v>
      </c>
      <c r="U416">
        <v>28.554600000000001</v>
      </c>
      <c r="Z416">
        <v>28.677700000000002</v>
      </c>
      <c r="AE416">
        <v>28.5565</v>
      </c>
      <c r="AJ416">
        <v>28.308</v>
      </c>
      <c r="CI416" t="s">
        <v>95</v>
      </c>
    </row>
    <row r="417" spans="1:87" x14ac:dyDescent="0.45">
      <c r="A417" t="s">
        <v>24</v>
      </c>
      <c r="B417" t="s">
        <v>4</v>
      </c>
      <c r="C417" t="s">
        <v>46</v>
      </c>
      <c r="D417" t="s">
        <v>96</v>
      </c>
      <c r="E417" t="s">
        <v>26</v>
      </c>
      <c r="F417">
        <v>0</v>
      </c>
      <c r="K417">
        <v>0</v>
      </c>
      <c r="P417">
        <v>0</v>
      </c>
      <c r="U417">
        <v>0</v>
      </c>
      <c r="Z417">
        <v>0</v>
      </c>
      <c r="AE417">
        <v>0</v>
      </c>
      <c r="AJ417">
        <v>0</v>
      </c>
      <c r="CI417" t="s">
        <v>96</v>
      </c>
    </row>
    <row r="418" spans="1:87" x14ac:dyDescent="0.45">
      <c r="A418" t="s">
        <v>24</v>
      </c>
      <c r="B418" t="s">
        <v>4</v>
      </c>
      <c r="C418" t="s">
        <v>46</v>
      </c>
      <c r="D418" t="s">
        <v>97</v>
      </c>
      <c r="E418" t="s">
        <v>26</v>
      </c>
      <c r="F418">
        <v>25.3568</v>
      </c>
      <c r="K418">
        <v>27.127099999999999</v>
      </c>
      <c r="P418">
        <v>23.9208</v>
      </c>
      <c r="U418">
        <v>28.709299999999999</v>
      </c>
      <c r="Z418">
        <v>28.764199999999999</v>
      </c>
      <c r="AE418">
        <v>28.313099999999999</v>
      </c>
      <c r="AJ418">
        <v>27.601099999999999</v>
      </c>
      <c r="CI418" t="s">
        <v>97</v>
      </c>
    </row>
    <row r="419" spans="1:87" x14ac:dyDescent="0.45">
      <c r="A419" t="s">
        <v>24</v>
      </c>
      <c r="B419" t="s">
        <v>4</v>
      </c>
      <c r="C419" t="s">
        <v>46</v>
      </c>
      <c r="D419" t="s">
        <v>98</v>
      </c>
      <c r="E419" t="s">
        <v>26</v>
      </c>
      <c r="F419">
        <v>23.145399999999999</v>
      </c>
      <c r="K419">
        <v>24.740100000000002</v>
      </c>
      <c r="P419">
        <v>21.6129</v>
      </c>
      <c r="U419">
        <v>26.232500000000002</v>
      </c>
      <c r="Z419">
        <v>26.139199999999999</v>
      </c>
      <c r="AE419">
        <v>26.168700000000001</v>
      </c>
      <c r="AJ419">
        <v>25.750299999999999</v>
      </c>
      <c r="CI419" t="s">
        <v>98</v>
      </c>
    </row>
    <row r="420" spans="1:87" x14ac:dyDescent="0.45">
      <c r="A420" t="s">
        <v>24</v>
      </c>
      <c r="B420" t="s">
        <v>4</v>
      </c>
      <c r="C420" t="s">
        <v>46</v>
      </c>
      <c r="D420" t="s">
        <v>99</v>
      </c>
      <c r="E420" t="s">
        <v>100</v>
      </c>
      <c r="F420">
        <v>17759.189699999999</v>
      </c>
      <c r="K420">
        <v>21028.338899999999</v>
      </c>
      <c r="P420">
        <v>22997.961500000001</v>
      </c>
      <c r="U420">
        <v>24771.829600000001</v>
      </c>
      <c r="Z420">
        <v>26421.008399999999</v>
      </c>
      <c r="AE420">
        <v>27977.969300000001</v>
      </c>
      <c r="AJ420">
        <v>29422.258600000001</v>
      </c>
      <c r="CI420" t="s">
        <v>99</v>
      </c>
    </row>
    <row r="421" spans="1:87" x14ac:dyDescent="0.45">
      <c r="A421" t="s">
        <v>24</v>
      </c>
      <c r="B421" t="s">
        <v>4</v>
      </c>
      <c r="C421" t="s">
        <v>46</v>
      </c>
      <c r="D421" t="s">
        <v>101</v>
      </c>
      <c r="E421" t="s">
        <v>102</v>
      </c>
      <c r="F421">
        <v>335.11259999999999</v>
      </c>
      <c r="K421">
        <v>347.33879999999999</v>
      </c>
      <c r="P421">
        <v>360.10340000000002</v>
      </c>
      <c r="U421">
        <v>371.43430000000001</v>
      </c>
      <c r="Z421">
        <v>382.77010000000001</v>
      </c>
      <c r="AE421">
        <v>392.61290000000002</v>
      </c>
      <c r="AJ421">
        <v>402.44220000000001</v>
      </c>
      <c r="CI421" t="s">
        <v>101</v>
      </c>
    </row>
    <row r="422" spans="1:87" x14ac:dyDescent="0.45">
      <c r="A422" t="s">
        <v>24</v>
      </c>
      <c r="B422" t="s">
        <v>4</v>
      </c>
      <c r="C422" t="s">
        <v>46</v>
      </c>
      <c r="D422" t="s">
        <v>103</v>
      </c>
      <c r="E422" t="s">
        <v>104</v>
      </c>
      <c r="F422">
        <v>0.99990000000000001</v>
      </c>
      <c r="K422">
        <v>0.92910000000000004</v>
      </c>
      <c r="P422">
        <v>0.85780000000000001</v>
      </c>
      <c r="U422">
        <v>0.85209999999999997</v>
      </c>
      <c r="Z422">
        <v>0.84670000000000001</v>
      </c>
      <c r="AE422">
        <v>0.84419999999999995</v>
      </c>
      <c r="AJ422">
        <v>0.84179999999999999</v>
      </c>
      <c r="CI422" t="s">
        <v>103</v>
      </c>
    </row>
    <row r="423" spans="1:87" x14ac:dyDescent="0.45">
      <c r="A423" t="s">
        <v>24</v>
      </c>
      <c r="B423" t="s">
        <v>4</v>
      </c>
      <c r="C423" t="s">
        <v>46</v>
      </c>
      <c r="D423" t="s">
        <v>105</v>
      </c>
      <c r="E423" t="s">
        <v>104</v>
      </c>
      <c r="F423">
        <v>1.0125</v>
      </c>
      <c r="K423">
        <v>0.94010000000000005</v>
      </c>
      <c r="P423">
        <v>0.86709999999999998</v>
      </c>
      <c r="U423">
        <v>0.82620000000000005</v>
      </c>
      <c r="Z423">
        <v>0.78539999999999999</v>
      </c>
      <c r="AE423">
        <v>0.7752</v>
      </c>
      <c r="AJ423">
        <v>0.76500000000000001</v>
      </c>
      <c r="CI423" t="s">
        <v>105</v>
      </c>
    </row>
    <row r="424" spans="1:87" x14ac:dyDescent="0.45">
      <c r="A424" t="s">
        <v>24</v>
      </c>
      <c r="B424" t="s">
        <v>4</v>
      </c>
      <c r="C424" t="s">
        <v>46</v>
      </c>
      <c r="D424" t="s">
        <v>106</v>
      </c>
      <c r="E424" t="s">
        <v>107</v>
      </c>
      <c r="F424">
        <v>0</v>
      </c>
      <c r="K424">
        <v>6.6807999999999996</v>
      </c>
      <c r="P424">
        <v>0</v>
      </c>
      <c r="U424">
        <v>2.1579000000000002</v>
      </c>
      <c r="Z424">
        <v>4.3159000000000001</v>
      </c>
      <c r="AE424">
        <v>6.4737999999999998</v>
      </c>
      <c r="AJ424">
        <v>8.6317000000000004</v>
      </c>
      <c r="CI424" t="s">
        <v>106</v>
      </c>
    </row>
    <row r="425" spans="1:87" x14ac:dyDescent="0.45">
      <c r="A425" t="s">
        <v>24</v>
      </c>
      <c r="B425" t="s">
        <v>4</v>
      </c>
      <c r="C425" t="s">
        <v>46</v>
      </c>
      <c r="D425" t="s">
        <v>108</v>
      </c>
      <c r="E425" t="s">
        <v>31</v>
      </c>
      <c r="F425">
        <v>6.4366000000000003</v>
      </c>
      <c r="K425">
        <v>7.2807000000000004</v>
      </c>
      <c r="P425">
        <v>7.7172999999999998</v>
      </c>
      <c r="U425">
        <v>9.7849000000000004</v>
      </c>
      <c r="Z425">
        <v>9.3919999999999995</v>
      </c>
      <c r="AE425">
        <v>10.354100000000001</v>
      </c>
      <c r="AJ425">
        <v>10.985900000000001</v>
      </c>
      <c r="CI425" t="s">
        <v>108</v>
      </c>
    </row>
    <row r="426" spans="1:87" x14ac:dyDescent="0.45">
      <c r="A426" t="s">
        <v>24</v>
      </c>
      <c r="B426" t="s">
        <v>4</v>
      </c>
      <c r="C426" t="s">
        <v>46</v>
      </c>
      <c r="D426" t="s">
        <v>109</v>
      </c>
      <c r="E426" t="s">
        <v>31</v>
      </c>
      <c r="F426">
        <v>13.0496</v>
      </c>
      <c r="K426">
        <v>9.4708000000000006</v>
      </c>
      <c r="P426">
        <v>7.5671999999999997</v>
      </c>
      <c r="U426">
        <v>8.6244999999999994</v>
      </c>
      <c r="Z426">
        <v>9.4405000000000001</v>
      </c>
      <c r="AE426">
        <v>8.2096</v>
      </c>
      <c r="AJ426">
        <v>10.6441</v>
      </c>
      <c r="CI426" t="s">
        <v>109</v>
      </c>
    </row>
    <row r="427" spans="1:87" x14ac:dyDescent="0.45">
      <c r="A427" t="s">
        <v>24</v>
      </c>
      <c r="B427" t="s">
        <v>4</v>
      </c>
      <c r="C427" t="s">
        <v>46</v>
      </c>
      <c r="D427" t="s">
        <v>110</v>
      </c>
      <c r="E427" t="s">
        <v>31</v>
      </c>
      <c r="F427">
        <v>0</v>
      </c>
      <c r="K427">
        <v>0</v>
      </c>
      <c r="P427">
        <v>0</v>
      </c>
      <c r="U427">
        <v>0</v>
      </c>
      <c r="Z427">
        <v>0</v>
      </c>
      <c r="AE427">
        <v>0</v>
      </c>
      <c r="AJ427">
        <v>0</v>
      </c>
      <c r="CI427" t="s">
        <v>110</v>
      </c>
    </row>
    <row r="428" spans="1:87" x14ac:dyDescent="0.45">
      <c r="A428" t="s">
        <v>24</v>
      </c>
      <c r="B428" t="s">
        <v>4</v>
      </c>
      <c r="C428" t="s">
        <v>46</v>
      </c>
      <c r="D428" t="s">
        <v>111</v>
      </c>
      <c r="E428" t="s">
        <v>31</v>
      </c>
      <c r="F428">
        <v>49.3825</v>
      </c>
      <c r="K428">
        <v>5.5709</v>
      </c>
      <c r="P428">
        <v>33.339799999999997</v>
      </c>
      <c r="U428">
        <v>16.544699999999999</v>
      </c>
      <c r="Z428">
        <v>17.986899999999999</v>
      </c>
      <c r="AE428">
        <v>22.4969</v>
      </c>
      <c r="AJ428">
        <v>17.5442</v>
      </c>
      <c r="CI428" t="s">
        <v>111</v>
      </c>
    </row>
    <row r="429" spans="1:87" x14ac:dyDescent="0.45">
      <c r="A429" t="s">
        <v>24</v>
      </c>
      <c r="B429" t="s">
        <v>4</v>
      </c>
      <c r="C429" t="s">
        <v>46</v>
      </c>
      <c r="D429" t="s">
        <v>112</v>
      </c>
      <c r="E429" t="s">
        <v>26</v>
      </c>
      <c r="F429">
        <v>81.601399999999998</v>
      </c>
      <c r="K429">
        <v>86.758200000000002</v>
      </c>
      <c r="P429">
        <v>85.3185</v>
      </c>
      <c r="U429">
        <v>89.148899999999998</v>
      </c>
      <c r="Z429">
        <v>86.693600000000004</v>
      </c>
      <c r="AE429">
        <v>88.210899999999995</v>
      </c>
      <c r="AJ429">
        <v>89.423000000000002</v>
      </c>
      <c r="CI429" t="s">
        <v>112</v>
      </c>
    </row>
    <row r="430" spans="1:87" x14ac:dyDescent="0.45">
      <c r="A430" t="s">
        <v>24</v>
      </c>
      <c r="B430" t="s">
        <v>4</v>
      </c>
      <c r="C430" t="s">
        <v>46</v>
      </c>
      <c r="D430" t="s">
        <v>113</v>
      </c>
      <c r="E430" t="s">
        <v>26</v>
      </c>
      <c r="F430">
        <v>6.8265000000000002</v>
      </c>
      <c r="K430">
        <v>6.8495999999999997</v>
      </c>
      <c r="P430">
        <v>8.0444999999999993</v>
      </c>
      <c r="U430">
        <v>6.8685</v>
      </c>
      <c r="Z430">
        <v>6.8905000000000003</v>
      </c>
      <c r="AE430">
        <v>5.7667000000000002</v>
      </c>
      <c r="AJ430">
        <v>5.1820000000000004</v>
      </c>
      <c r="CI430" t="s">
        <v>113</v>
      </c>
    </row>
    <row r="431" spans="1:87" x14ac:dyDescent="0.45">
      <c r="A431" t="s">
        <v>24</v>
      </c>
      <c r="B431" t="s">
        <v>4</v>
      </c>
      <c r="C431" t="s">
        <v>46</v>
      </c>
      <c r="D431" t="s">
        <v>114</v>
      </c>
      <c r="E431" t="s">
        <v>26</v>
      </c>
      <c r="F431">
        <v>13.4923</v>
      </c>
      <c r="K431">
        <v>14.2248</v>
      </c>
      <c r="P431">
        <v>13.4657</v>
      </c>
      <c r="U431">
        <v>11.1204</v>
      </c>
      <c r="Z431">
        <v>6.3437000000000001</v>
      </c>
      <c r="AE431">
        <v>6.7344999999999997</v>
      </c>
      <c r="AJ431">
        <v>6.8773999999999997</v>
      </c>
      <c r="CI431" t="s">
        <v>114</v>
      </c>
    </row>
    <row r="432" spans="1:87" x14ac:dyDescent="0.45">
      <c r="A432" t="s">
        <v>24</v>
      </c>
      <c r="B432" t="s">
        <v>4</v>
      </c>
      <c r="C432" t="s">
        <v>46</v>
      </c>
      <c r="D432" t="s">
        <v>116</v>
      </c>
      <c r="E432" t="s">
        <v>26</v>
      </c>
      <c r="F432">
        <v>13.4923</v>
      </c>
      <c r="K432">
        <v>14.2248</v>
      </c>
      <c r="P432">
        <v>13.4657</v>
      </c>
      <c r="U432">
        <v>11.1204</v>
      </c>
      <c r="Z432">
        <v>6.3437000000000001</v>
      </c>
      <c r="AE432">
        <v>6.7344999999999997</v>
      </c>
      <c r="AJ432">
        <v>6.8773999999999997</v>
      </c>
      <c r="CI432" t="s">
        <v>116</v>
      </c>
    </row>
    <row r="433" spans="1:87" x14ac:dyDescent="0.45">
      <c r="A433" t="s">
        <v>24</v>
      </c>
      <c r="B433" t="s">
        <v>4</v>
      </c>
      <c r="C433" t="s">
        <v>46</v>
      </c>
      <c r="D433" t="s">
        <v>117</v>
      </c>
      <c r="E433" t="s">
        <v>26</v>
      </c>
      <c r="F433">
        <v>68.171199999999999</v>
      </c>
      <c r="K433">
        <v>72.8977</v>
      </c>
      <c r="P433">
        <v>69.9863</v>
      </c>
      <c r="U433">
        <v>72.8108</v>
      </c>
      <c r="Z433">
        <v>67.636600000000001</v>
      </c>
      <c r="AE433">
        <v>70.6083</v>
      </c>
      <c r="AJ433">
        <v>72.751800000000003</v>
      </c>
      <c r="CI433" t="s">
        <v>117</v>
      </c>
    </row>
    <row r="434" spans="1:87" x14ac:dyDescent="0.45">
      <c r="A434" t="s">
        <v>24</v>
      </c>
      <c r="B434" t="s">
        <v>4</v>
      </c>
      <c r="C434" t="s">
        <v>46</v>
      </c>
      <c r="D434" t="s">
        <v>118</v>
      </c>
      <c r="E434" t="s">
        <v>26</v>
      </c>
      <c r="F434">
        <v>0</v>
      </c>
      <c r="K434">
        <v>0</v>
      </c>
      <c r="P434">
        <v>0</v>
      </c>
      <c r="U434">
        <v>0</v>
      </c>
      <c r="Z434">
        <v>0</v>
      </c>
      <c r="AE434">
        <v>0</v>
      </c>
      <c r="AJ434">
        <v>0</v>
      </c>
      <c r="CI434" t="s">
        <v>118</v>
      </c>
    </row>
    <row r="435" spans="1:87" x14ac:dyDescent="0.45">
      <c r="A435" t="s">
        <v>24</v>
      </c>
      <c r="B435" t="s">
        <v>4</v>
      </c>
      <c r="C435" t="s">
        <v>46</v>
      </c>
      <c r="D435" t="s">
        <v>119</v>
      </c>
      <c r="E435" t="s">
        <v>26</v>
      </c>
      <c r="F435">
        <v>68.171199999999999</v>
      </c>
      <c r="K435">
        <v>72.8977</v>
      </c>
      <c r="P435">
        <v>69.9863</v>
      </c>
      <c r="U435">
        <v>72.8108</v>
      </c>
      <c r="Z435">
        <v>67.636600000000001</v>
      </c>
      <c r="AE435">
        <v>70.6083</v>
      </c>
      <c r="AJ435">
        <v>72.751800000000003</v>
      </c>
      <c r="CI435" t="s">
        <v>119</v>
      </c>
    </row>
    <row r="436" spans="1:87" x14ac:dyDescent="0.45">
      <c r="A436" t="s">
        <v>24</v>
      </c>
      <c r="B436" t="s">
        <v>4</v>
      </c>
      <c r="C436" t="s">
        <v>46</v>
      </c>
      <c r="D436" t="s">
        <v>120</v>
      </c>
      <c r="E436" t="s">
        <v>26</v>
      </c>
      <c r="F436">
        <v>23.373200000000001</v>
      </c>
      <c r="K436">
        <v>21.2346</v>
      </c>
      <c r="P436">
        <v>22.346499999999999</v>
      </c>
      <c r="U436">
        <v>25.1784</v>
      </c>
      <c r="Z436">
        <v>27.1724</v>
      </c>
      <c r="AE436">
        <v>30.452400000000001</v>
      </c>
      <c r="AJ436">
        <v>32.9589</v>
      </c>
      <c r="CI436" t="s">
        <v>120</v>
      </c>
    </row>
    <row r="437" spans="1:87" x14ac:dyDescent="0.45">
      <c r="A437" t="s">
        <v>24</v>
      </c>
      <c r="B437" t="s">
        <v>4</v>
      </c>
      <c r="C437" t="s">
        <v>46</v>
      </c>
      <c r="D437" t="s">
        <v>122</v>
      </c>
      <c r="E437" t="s">
        <v>26</v>
      </c>
      <c r="F437">
        <v>23.373200000000001</v>
      </c>
      <c r="K437">
        <v>21.2346</v>
      </c>
      <c r="P437">
        <v>22.346499999999999</v>
      </c>
      <c r="U437">
        <v>25.1784</v>
      </c>
      <c r="Z437">
        <v>27.1724</v>
      </c>
      <c r="AE437">
        <v>30.452400000000001</v>
      </c>
      <c r="AJ437">
        <v>32.9589</v>
      </c>
      <c r="CI437" t="s">
        <v>122</v>
      </c>
    </row>
    <row r="438" spans="1:87" x14ac:dyDescent="0.45">
      <c r="A438" t="s">
        <v>24</v>
      </c>
      <c r="B438" t="s">
        <v>4</v>
      </c>
      <c r="C438" t="s">
        <v>46</v>
      </c>
      <c r="D438" t="s">
        <v>123</v>
      </c>
      <c r="E438" t="s">
        <v>26</v>
      </c>
      <c r="F438">
        <v>8.9499999999999996E-2</v>
      </c>
      <c r="K438">
        <v>7.0499999999999993E-2</v>
      </c>
      <c r="P438">
        <v>5.5599999999999997E-2</v>
      </c>
      <c r="U438">
        <v>4.3799999999999999E-2</v>
      </c>
      <c r="Z438">
        <v>3.4500000000000003E-2</v>
      </c>
      <c r="AE438">
        <v>2.9399999999999999E-2</v>
      </c>
      <c r="AJ438">
        <v>3.0099999999999998E-2</v>
      </c>
      <c r="CI438" t="s">
        <v>123</v>
      </c>
    </row>
    <row r="439" spans="1:87" x14ac:dyDescent="0.45">
      <c r="A439" t="s">
        <v>24</v>
      </c>
      <c r="B439" t="s">
        <v>4</v>
      </c>
      <c r="C439" t="s">
        <v>46</v>
      </c>
      <c r="D439" t="s">
        <v>124</v>
      </c>
      <c r="E439" t="s">
        <v>26</v>
      </c>
      <c r="F439">
        <v>1.1474</v>
      </c>
      <c r="K439">
        <v>1.1391</v>
      </c>
      <c r="P439">
        <v>1.1308</v>
      </c>
      <c r="U439">
        <v>1.1226</v>
      </c>
      <c r="Z439">
        <v>1.1144000000000001</v>
      </c>
      <c r="AE439">
        <v>1.1062000000000001</v>
      </c>
      <c r="AJ439">
        <v>1.0981000000000001</v>
      </c>
      <c r="CI439" t="s">
        <v>124</v>
      </c>
    </row>
    <row r="440" spans="1:87" x14ac:dyDescent="0.45">
      <c r="A440" t="s">
        <v>24</v>
      </c>
      <c r="B440" t="s">
        <v>4</v>
      </c>
      <c r="C440" t="s">
        <v>46</v>
      </c>
      <c r="D440" t="s">
        <v>125</v>
      </c>
      <c r="E440" t="s">
        <v>26</v>
      </c>
      <c r="F440">
        <v>3.0282</v>
      </c>
      <c r="K440">
        <v>3.0122</v>
      </c>
      <c r="P440">
        <v>2.875</v>
      </c>
      <c r="U440">
        <v>2.1383000000000001</v>
      </c>
      <c r="Z440">
        <v>1.7255</v>
      </c>
      <c r="AE440">
        <v>0.98480000000000001</v>
      </c>
      <c r="AJ440">
        <v>8.2100000000000006E-2</v>
      </c>
      <c r="CI440" t="s">
        <v>125</v>
      </c>
    </row>
    <row r="441" spans="1:87" x14ac:dyDescent="0.45">
      <c r="A441" t="s">
        <v>24</v>
      </c>
      <c r="B441" t="s">
        <v>4</v>
      </c>
      <c r="C441" t="s">
        <v>46</v>
      </c>
      <c r="D441" t="s">
        <v>126</v>
      </c>
      <c r="E441" t="s">
        <v>26</v>
      </c>
      <c r="F441">
        <v>31.305700000000002</v>
      </c>
      <c r="K441">
        <v>37.438200000000002</v>
      </c>
      <c r="P441">
        <v>34.174100000000003</v>
      </c>
      <c r="U441">
        <v>36.512</v>
      </c>
      <c r="Z441">
        <v>34.1205</v>
      </c>
      <c r="AE441">
        <v>33.421399999999998</v>
      </c>
      <c r="AJ441">
        <v>32.915500000000002</v>
      </c>
      <c r="CI441" t="s">
        <v>126</v>
      </c>
    </row>
    <row r="442" spans="1:87" x14ac:dyDescent="0.45">
      <c r="A442" t="s">
        <v>24</v>
      </c>
      <c r="B442" t="s">
        <v>4</v>
      </c>
      <c r="C442" t="s">
        <v>46</v>
      </c>
      <c r="D442" t="s">
        <v>127</v>
      </c>
      <c r="E442" t="s">
        <v>26</v>
      </c>
      <c r="F442">
        <v>31.305700000000002</v>
      </c>
      <c r="K442">
        <v>37.438200000000002</v>
      </c>
      <c r="P442">
        <v>34.174100000000003</v>
      </c>
      <c r="U442">
        <v>36.512</v>
      </c>
      <c r="Z442">
        <v>34.1205</v>
      </c>
      <c r="AE442">
        <v>33.421399999999998</v>
      </c>
      <c r="AJ442">
        <v>32.915500000000002</v>
      </c>
      <c r="CI442" t="s">
        <v>127</v>
      </c>
    </row>
    <row r="443" spans="1:87" x14ac:dyDescent="0.45">
      <c r="A443" t="s">
        <v>24</v>
      </c>
      <c r="B443" t="s">
        <v>4</v>
      </c>
      <c r="C443" t="s">
        <v>46</v>
      </c>
      <c r="D443" t="s">
        <v>128</v>
      </c>
      <c r="E443" t="s">
        <v>26</v>
      </c>
      <c r="F443">
        <v>0.92689999999999995</v>
      </c>
      <c r="K443">
        <v>1.4176</v>
      </c>
      <c r="P443">
        <v>1.9507000000000001</v>
      </c>
      <c r="U443">
        <v>3.5352999999999999</v>
      </c>
      <c r="Z443">
        <v>6.3034999999999997</v>
      </c>
      <c r="AE443">
        <v>6.7949999999999999</v>
      </c>
      <c r="AJ443">
        <v>7.4211999999999998</v>
      </c>
      <c r="CI443" t="s">
        <v>128</v>
      </c>
    </row>
    <row r="444" spans="1:87" x14ac:dyDescent="0.45">
      <c r="A444" t="s">
        <v>24</v>
      </c>
      <c r="B444" t="s">
        <v>4</v>
      </c>
      <c r="C444" t="s">
        <v>46</v>
      </c>
      <c r="D444" t="s">
        <v>129</v>
      </c>
      <c r="E444" t="s">
        <v>26</v>
      </c>
      <c r="F444">
        <v>1.4116</v>
      </c>
      <c r="K444">
        <v>1.3715999999999999</v>
      </c>
      <c r="P444">
        <v>1.2756000000000001</v>
      </c>
      <c r="U444">
        <v>2.6297000000000001</v>
      </c>
      <c r="Z444">
        <v>2.9885999999999999</v>
      </c>
      <c r="AE444">
        <v>2.9205999999999999</v>
      </c>
      <c r="AJ444">
        <v>2.8578000000000001</v>
      </c>
      <c r="CI444" t="s">
        <v>129</v>
      </c>
    </row>
    <row r="445" spans="1:87" x14ac:dyDescent="0.45">
      <c r="A445" t="s">
        <v>24</v>
      </c>
      <c r="B445" t="s">
        <v>4</v>
      </c>
      <c r="C445" t="s">
        <v>46</v>
      </c>
      <c r="D445" t="s">
        <v>130</v>
      </c>
      <c r="E445" t="s">
        <v>100</v>
      </c>
      <c r="F445">
        <v>0</v>
      </c>
      <c r="K445">
        <v>34.9041</v>
      </c>
      <c r="P445">
        <v>0</v>
      </c>
      <c r="U445">
        <v>10.712300000000001</v>
      </c>
      <c r="Z445">
        <v>19.1341</v>
      </c>
      <c r="AE445">
        <v>29.227799999999998</v>
      </c>
      <c r="AJ445">
        <v>40.613799999999998</v>
      </c>
      <c r="CI445" t="s">
        <v>130</v>
      </c>
    </row>
    <row r="446" spans="1:87" x14ac:dyDescent="0.45">
      <c r="A446" t="s">
        <v>24</v>
      </c>
      <c r="B446" t="s">
        <v>4</v>
      </c>
      <c r="C446" t="s">
        <v>46</v>
      </c>
      <c r="D446" t="s">
        <v>131</v>
      </c>
      <c r="E446" t="s">
        <v>100</v>
      </c>
      <c r="F446">
        <v>0</v>
      </c>
      <c r="K446">
        <v>2.9878999999999998</v>
      </c>
      <c r="P446">
        <v>0</v>
      </c>
      <c r="U446">
        <v>1.1434</v>
      </c>
      <c r="Z446">
        <v>2.2393999999999998</v>
      </c>
      <c r="AE446">
        <v>3.5741999999999998</v>
      </c>
      <c r="AJ446">
        <v>4.9332000000000003</v>
      </c>
      <c r="CI446" t="s">
        <v>131</v>
      </c>
    </row>
    <row r="447" spans="1:87" x14ac:dyDescent="0.45">
      <c r="A447" t="s">
        <v>24</v>
      </c>
      <c r="B447" t="s">
        <v>4</v>
      </c>
      <c r="C447" t="s">
        <v>46</v>
      </c>
      <c r="D447" t="s">
        <v>132</v>
      </c>
      <c r="E447" t="s">
        <v>100</v>
      </c>
      <c r="F447">
        <v>0</v>
      </c>
      <c r="K447">
        <v>4.3110999999999997</v>
      </c>
      <c r="P447">
        <v>0</v>
      </c>
      <c r="U447">
        <v>1.1757</v>
      </c>
      <c r="Z447">
        <v>1.9500999999999999</v>
      </c>
      <c r="AE447">
        <v>2.6379999999999999</v>
      </c>
      <c r="AJ447">
        <v>3.5234999999999999</v>
      </c>
      <c r="CI447" t="s">
        <v>132</v>
      </c>
    </row>
    <row r="448" spans="1:87" x14ac:dyDescent="0.45">
      <c r="A448" t="s">
        <v>24</v>
      </c>
      <c r="B448" t="s">
        <v>4</v>
      </c>
      <c r="C448" t="s">
        <v>46</v>
      </c>
      <c r="D448" t="s">
        <v>133</v>
      </c>
      <c r="E448" t="s">
        <v>100</v>
      </c>
      <c r="F448">
        <v>0</v>
      </c>
      <c r="K448">
        <v>12.5784</v>
      </c>
      <c r="P448">
        <v>0</v>
      </c>
      <c r="U448">
        <v>4.1740000000000004</v>
      </c>
      <c r="Z448">
        <v>8.4670000000000005</v>
      </c>
      <c r="AE448">
        <v>12.6511</v>
      </c>
      <c r="AJ448">
        <v>16.551200000000001</v>
      </c>
      <c r="CI448" t="s">
        <v>133</v>
      </c>
    </row>
    <row r="449" spans="1:87" x14ac:dyDescent="0.45">
      <c r="A449" t="s">
        <v>24</v>
      </c>
      <c r="B449" t="s">
        <v>4</v>
      </c>
      <c r="C449" t="s">
        <v>46</v>
      </c>
      <c r="D449" t="s">
        <v>134</v>
      </c>
      <c r="E449" t="s">
        <v>100</v>
      </c>
      <c r="F449">
        <v>0</v>
      </c>
      <c r="K449">
        <v>15.0266</v>
      </c>
      <c r="P449">
        <v>0</v>
      </c>
      <c r="U449">
        <v>4.2191999999999998</v>
      </c>
      <c r="Z449">
        <v>6.4775999999999998</v>
      </c>
      <c r="AE449">
        <v>10.3644</v>
      </c>
      <c r="AJ449">
        <v>15.6058</v>
      </c>
      <c r="CI449" t="s">
        <v>134</v>
      </c>
    </row>
    <row r="450" spans="1:87" x14ac:dyDescent="0.45">
      <c r="A450" t="s">
        <v>24</v>
      </c>
      <c r="B450" t="s">
        <v>4</v>
      </c>
      <c r="C450" t="s">
        <v>46</v>
      </c>
      <c r="D450" t="s">
        <v>135</v>
      </c>
      <c r="E450" t="s">
        <v>26</v>
      </c>
      <c r="F450">
        <v>4.7682000000000002</v>
      </c>
      <c r="K450">
        <v>5.0176999999999996</v>
      </c>
      <c r="P450">
        <v>4.5812999999999997</v>
      </c>
      <c r="U450">
        <v>3.8073000000000001</v>
      </c>
      <c r="Z450">
        <v>2.3166000000000002</v>
      </c>
      <c r="AE450">
        <v>2.5632999999999999</v>
      </c>
      <c r="AJ450">
        <v>2.6154999999999999</v>
      </c>
      <c r="CI450" t="s">
        <v>135</v>
      </c>
    </row>
    <row r="451" spans="1:87" x14ac:dyDescent="0.45">
      <c r="A451" t="s">
        <v>24</v>
      </c>
      <c r="B451" t="s">
        <v>4</v>
      </c>
      <c r="C451" t="s">
        <v>46</v>
      </c>
      <c r="D451" t="s">
        <v>136</v>
      </c>
      <c r="E451" t="s">
        <v>26</v>
      </c>
      <c r="F451">
        <v>4.3792</v>
      </c>
      <c r="K451">
        <v>5.1124999999999998</v>
      </c>
      <c r="P451">
        <v>6.6959</v>
      </c>
      <c r="U451">
        <v>7.4366000000000003</v>
      </c>
      <c r="Z451">
        <v>8.0648</v>
      </c>
      <c r="AE451">
        <v>8.8106000000000009</v>
      </c>
      <c r="AJ451">
        <v>9.8109999999999999</v>
      </c>
      <c r="CI451" t="s">
        <v>136</v>
      </c>
    </row>
    <row r="452" spans="1:87" x14ac:dyDescent="0.45">
      <c r="A452" t="s">
        <v>24</v>
      </c>
      <c r="B452" t="s">
        <v>4</v>
      </c>
      <c r="C452" t="s">
        <v>46</v>
      </c>
      <c r="D452" t="s">
        <v>137</v>
      </c>
      <c r="E452" t="s">
        <v>26</v>
      </c>
      <c r="F452">
        <v>5.62E-2</v>
      </c>
      <c r="K452">
        <v>4.5199999999999997E-2</v>
      </c>
      <c r="P452">
        <v>3.6400000000000002E-2</v>
      </c>
      <c r="U452">
        <v>2.9399999999999999E-2</v>
      </c>
      <c r="Z452">
        <v>2.3800000000000002E-2</v>
      </c>
      <c r="AE452">
        <v>1.9300000000000001E-2</v>
      </c>
      <c r="AJ452">
        <v>2.0299999999999999E-2</v>
      </c>
      <c r="CI452" t="s">
        <v>137</v>
      </c>
    </row>
    <row r="453" spans="1:87" x14ac:dyDescent="0.45">
      <c r="A453" t="s">
        <v>24</v>
      </c>
      <c r="B453" t="s">
        <v>4</v>
      </c>
      <c r="C453" t="s">
        <v>46</v>
      </c>
      <c r="D453" t="s">
        <v>138</v>
      </c>
      <c r="E453" t="s">
        <v>26</v>
      </c>
      <c r="F453">
        <v>1.1474</v>
      </c>
      <c r="K453">
        <v>1.1391</v>
      </c>
      <c r="P453">
        <v>1.1308</v>
      </c>
      <c r="U453">
        <v>1.1226</v>
      </c>
      <c r="Z453">
        <v>1.1144000000000001</v>
      </c>
      <c r="AE453">
        <v>1.1062000000000001</v>
      </c>
      <c r="AJ453">
        <v>1.0981000000000001</v>
      </c>
      <c r="CI453" t="s">
        <v>138</v>
      </c>
    </row>
    <row r="454" spans="1:87" x14ac:dyDescent="0.45">
      <c r="A454" t="s">
        <v>24</v>
      </c>
      <c r="B454" t="s">
        <v>4</v>
      </c>
      <c r="C454" t="s">
        <v>46</v>
      </c>
      <c r="D454" t="s">
        <v>139</v>
      </c>
      <c r="E454" t="s">
        <v>26</v>
      </c>
      <c r="F454">
        <v>3.0245000000000002</v>
      </c>
      <c r="K454">
        <v>3.0085000000000002</v>
      </c>
      <c r="P454">
        <v>2.871</v>
      </c>
      <c r="U454">
        <v>2.1345000000000001</v>
      </c>
      <c r="Z454">
        <v>1.7242999999999999</v>
      </c>
      <c r="AE454">
        <v>0.98429999999999995</v>
      </c>
      <c r="AJ454">
        <v>0.1452</v>
      </c>
      <c r="CI454" t="s">
        <v>139</v>
      </c>
    </row>
    <row r="455" spans="1:87" x14ac:dyDescent="0.45">
      <c r="A455" t="s">
        <v>24</v>
      </c>
      <c r="B455" t="s">
        <v>4</v>
      </c>
      <c r="C455" t="s">
        <v>46</v>
      </c>
      <c r="D455" t="s">
        <v>140</v>
      </c>
      <c r="E455" t="s">
        <v>26</v>
      </c>
      <c r="F455">
        <v>0.67269999999999996</v>
      </c>
      <c r="K455">
        <v>0.66890000000000005</v>
      </c>
      <c r="P455">
        <v>0.48559999999999998</v>
      </c>
      <c r="U455">
        <v>0.24890000000000001</v>
      </c>
      <c r="Z455">
        <v>0</v>
      </c>
      <c r="AE455">
        <v>0</v>
      </c>
      <c r="AJ455">
        <v>0</v>
      </c>
      <c r="CI455" t="s">
        <v>140</v>
      </c>
    </row>
    <row r="456" spans="1:87" x14ac:dyDescent="0.45">
      <c r="A456" t="s">
        <v>24</v>
      </c>
      <c r="B456" t="s">
        <v>4</v>
      </c>
      <c r="C456" t="s">
        <v>46</v>
      </c>
      <c r="D456" t="s">
        <v>141</v>
      </c>
      <c r="E456" t="s">
        <v>26</v>
      </c>
      <c r="F456">
        <v>0.72929999999999995</v>
      </c>
      <c r="K456">
        <v>0.62239999999999995</v>
      </c>
      <c r="P456">
        <v>0.53920000000000001</v>
      </c>
      <c r="U456">
        <v>1.1964999999999999</v>
      </c>
      <c r="Z456">
        <v>3.1406000000000001</v>
      </c>
      <c r="AE456">
        <v>3.0192999999999999</v>
      </c>
      <c r="AJ456">
        <v>3.4201000000000001</v>
      </c>
      <c r="CI456" t="s">
        <v>141</v>
      </c>
    </row>
    <row r="457" spans="1:87" x14ac:dyDescent="0.45">
      <c r="A457" t="s">
        <v>24</v>
      </c>
      <c r="B457" t="s">
        <v>4</v>
      </c>
      <c r="C457" t="s">
        <v>46</v>
      </c>
      <c r="D457" t="s">
        <v>142</v>
      </c>
      <c r="E457" t="s">
        <v>26</v>
      </c>
      <c r="F457">
        <v>2.8292999999999999</v>
      </c>
      <c r="K457">
        <v>2.7141000000000002</v>
      </c>
      <c r="P457">
        <v>2.5529999999999999</v>
      </c>
      <c r="U457">
        <v>2.7507000000000001</v>
      </c>
      <c r="Z457">
        <v>2.8149000000000002</v>
      </c>
      <c r="AE457">
        <v>1.9874000000000001</v>
      </c>
      <c r="AJ457">
        <v>1.7527999999999999</v>
      </c>
      <c r="CI457" t="s">
        <v>142</v>
      </c>
    </row>
    <row r="458" spans="1:87" x14ac:dyDescent="0.45">
      <c r="A458" t="s">
        <v>24</v>
      </c>
      <c r="B458" t="s">
        <v>4</v>
      </c>
      <c r="C458" t="s">
        <v>46</v>
      </c>
      <c r="D458" t="s">
        <v>143</v>
      </c>
      <c r="E458" t="s">
        <v>26</v>
      </c>
      <c r="F458">
        <v>1.4116</v>
      </c>
      <c r="K458">
        <v>1.3715999999999999</v>
      </c>
      <c r="P458">
        <v>1.2756000000000001</v>
      </c>
      <c r="U458">
        <v>2.6297000000000001</v>
      </c>
      <c r="Z458">
        <v>2.9885999999999999</v>
      </c>
      <c r="AE458">
        <v>2.9205999999999999</v>
      </c>
      <c r="AJ458">
        <v>2.8578000000000001</v>
      </c>
      <c r="CI458" t="s">
        <v>143</v>
      </c>
    </row>
    <row r="459" spans="1:87" x14ac:dyDescent="0.45">
      <c r="A459" t="s">
        <v>24</v>
      </c>
      <c r="B459" t="s">
        <v>4</v>
      </c>
      <c r="C459" t="s">
        <v>46</v>
      </c>
      <c r="D459" t="s">
        <v>144</v>
      </c>
      <c r="E459" t="s">
        <v>26</v>
      </c>
      <c r="F459">
        <v>21.822600000000001</v>
      </c>
      <c r="K459">
        <v>19.569600000000001</v>
      </c>
      <c r="P459">
        <v>20.3139</v>
      </c>
      <c r="U459">
        <v>22.585599999999999</v>
      </c>
      <c r="Z459">
        <v>24.363900000000001</v>
      </c>
      <c r="AE459">
        <v>27.467600000000001</v>
      </c>
      <c r="AJ459">
        <v>29.894500000000001</v>
      </c>
      <c r="CI459" t="s">
        <v>144</v>
      </c>
    </row>
    <row r="460" spans="1:87" x14ac:dyDescent="0.45">
      <c r="A460" t="s">
        <v>24</v>
      </c>
      <c r="B460" t="s">
        <v>4</v>
      </c>
      <c r="C460" t="s">
        <v>46</v>
      </c>
      <c r="D460" t="s">
        <v>145</v>
      </c>
      <c r="E460" t="s">
        <v>26</v>
      </c>
      <c r="F460">
        <v>21.822600000000001</v>
      </c>
      <c r="K460">
        <v>19.569600000000001</v>
      </c>
      <c r="P460">
        <v>20.3139</v>
      </c>
      <c r="U460">
        <v>22.585599999999999</v>
      </c>
      <c r="Z460">
        <v>24.363900000000001</v>
      </c>
      <c r="AE460">
        <v>27.467600000000001</v>
      </c>
      <c r="AJ460">
        <v>29.894500000000001</v>
      </c>
      <c r="CI460" t="s">
        <v>145</v>
      </c>
    </row>
    <row r="461" spans="1:87" x14ac:dyDescent="0.45">
      <c r="A461" t="s">
        <v>24</v>
      </c>
      <c r="B461" t="s">
        <v>4</v>
      </c>
      <c r="C461" t="s">
        <v>46</v>
      </c>
      <c r="D461" t="s">
        <v>146</v>
      </c>
      <c r="E461" t="s">
        <v>26</v>
      </c>
      <c r="F461">
        <v>0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146</v>
      </c>
    </row>
    <row r="462" spans="1:87" x14ac:dyDescent="0.45">
      <c r="A462" t="s">
        <v>24</v>
      </c>
      <c r="B462" t="s">
        <v>4</v>
      </c>
      <c r="C462" t="s">
        <v>46</v>
      </c>
      <c r="D462" t="s">
        <v>147</v>
      </c>
      <c r="E462" t="s">
        <v>26</v>
      </c>
      <c r="F462">
        <v>0.3221</v>
      </c>
      <c r="K462">
        <v>0.29820000000000002</v>
      </c>
      <c r="P462">
        <v>0.25940000000000002</v>
      </c>
      <c r="U462">
        <v>0.27489999999999998</v>
      </c>
      <c r="Z462">
        <v>0.10539999999999999</v>
      </c>
      <c r="AE462">
        <v>7.2700000000000001E-2</v>
      </c>
      <c r="AJ462">
        <v>8.6999999999999994E-3</v>
      </c>
      <c r="CI462" t="s">
        <v>147</v>
      </c>
    </row>
    <row r="463" spans="1:87" x14ac:dyDescent="0.45">
      <c r="A463" t="s">
        <v>24</v>
      </c>
      <c r="B463" t="s">
        <v>4</v>
      </c>
      <c r="C463" t="s">
        <v>46</v>
      </c>
      <c r="D463" t="s">
        <v>148</v>
      </c>
      <c r="E463" t="s">
        <v>26</v>
      </c>
      <c r="F463">
        <v>0.13400000000000001</v>
      </c>
      <c r="K463">
        <v>0.13730000000000001</v>
      </c>
      <c r="P463">
        <v>0.13589999999999999</v>
      </c>
      <c r="U463">
        <v>0.25600000000000001</v>
      </c>
      <c r="Z463">
        <v>0.24399999999999999</v>
      </c>
      <c r="AE463">
        <v>0.2432</v>
      </c>
      <c r="AJ463">
        <v>0.1201</v>
      </c>
      <c r="CI463" t="s">
        <v>148</v>
      </c>
    </row>
    <row r="464" spans="1:87" x14ac:dyDescent="0.45">
      <c r="A464" t="s">
        <v>24</v>
      </c>
      <c r="B464" t="s">
        <v>4</v>
      </c>
      <c r="C464" t="s">
        <v>46</v>
      </c>
      <c r="D464" t="s">
        <v>149</v>
      </c>
      <c r="E464" t="s">
        <v>26</v>
      </c>
      <c r="F464">
        <v>28.2056</v>
      </c>
      <c r="K464">
        <v>28.2363</v>
      </c>
      <c r="P464">
        <v>28.747900000000001</v>
      </c>
      <c r="U464">
        <v>28.5562</v>
      </c>
      <c r="Z464">
        <v>26.466000000000001</v>
      </c>
      <c r="AE464">
        <v>25.720300000000002</v>
      </c>
      <c r="AJ464">
        <v>25.6569</v>
      </c>
      <c r="CI464" t="s">
        <v>149</v>
      </c>
    </row>
    <row r="465" spans="1:87" x14ac:dyDescent="0.45">
      <c r="A465" t="s">
        <v>24</v>
      </c>
      <c r="B465" t="s">
        <v>4</v>
      </c>
      <c r="C465" t="s">
        <v>46</v>
      </c>
      <c r="D465" t="s">
        <v>150</v>
      </c>
      <c r="E465" t="s">
        <v>26</v>
      </c>
      <c r="F465">
        <v>2.6861000000000002</v>
      </c>
      <c r="K465">
        <v>2.6711999999999998</v>
      </c>
      <c r="P465">
        <v>3.2919</v>
      </c>
      <c r="U465">
        <v>2.7926000000000002</v>
      </c>
      <c r="Z465">
        <v>2.7568000000000001</v>
      </c>
      <c r="AE465">
        <v>2.2612000000000001</v>
      </c>
      <c r="AJ465">
        <v>2.0436999999999999</v>
      </c>
      <c r="CI465" t="s">
        <v>150</v>
      </c>
    </row>
    <row r="466" spans="1:87" x14ac:dyDescent="0.45">
      <c r="A466" t="s">
        <v>24</v>
      </c>
      <c r="B466" t="s">
        <v>4</v>
      </c>
      <c r="C466" t="s">
        <v>46</v>
      </c>
      <c r="D466" t="s">
        <v>151</v>
      </c>
      <c r="E466" t="s">
        <v>26</v>
      </c>
      <c r="F466">
        <v>3.8E-3</v>
      </c>
      <c r="K466">
        <v>0</v>
      </c>
      <c r="P466">
        <v>0</v>
      </c>
      <c r="U466">
        <v>4.0000000000000002E-4</v>
      </c>
      <c r="Z466">
        <v>0</v>
      </c>
      <c r="AE466">
        <v>0</v>
      </c>
      <c r="AJ466">
        <v>0</v>
      </c>
      <c r="CI466" t="s">
        <v>151</v>
      </c>
    </row>
    <row r="467" spans="1:87" x14ac:dyDescent="0.45">
      <c r="A467" t="s">
        <v>24</v>
      </c>
      <c r="B467" t="s">
        <v>4</v>
      </c>
      <c r="C467" t="s">
        <v>46</v>
      </c>
      <c r="D467" t="s">
        <v>152</v>
      </c>
      <c r="E467" t="s">
        <v>26</v>
      </c>
      <c r="F467">
        <v>25.515799999999999</v>
      </c>
      <c r="K467">
        <v>25.565100000000001</v>
      </c>
      <c r="P467">
        <v>25.456099999999999</v>
      </c>
      <c r="U467">
        <v>25.763300000000001</v>
      </c>
      <c r="Z467">
        <v>23.709099999999999</v>
      </c>
      <c r="AE467">
        <v>23.459099999999999</v>
      </c>
      <c r="AJ467">
        <v>23.613199999999999</v>
      </c>
      <c r="CI467" t="s">
        <v>152</v>
      </c>
    </row>
    <row r="468" spans="1:87" x14ac:dyDescent="0.45">
      <c r="A468" t="s">
        <v>24</v>
      </c>
      <c r="B468" t="s">
        <v>4</v>
      </c>
      <c r="C468" t="s">
        <v>46</v>
      </c>
      <c r="D468" t="s">
        <v>153</v>
      </c>
      <c r="E468" t="s">
        <v>26</v>
      </c>
      <c r="F468">
        <v>1.034</v>
      </c>
      <c r="K468">
        <v>1.1203000000000001</v>
      </c>
      <c r="P468">
        <v>1.2641</v>
      </c>
      <c r="U468">
        <v>1.3120000000000001</v>
      </c>
      <c r="Z468">
        <v>1.0678000000000001</v>
      </c>
      <c r="AE468">
        <v>1.0992</v>
      </c>
      <c r="AJ468">
        <v>1.2454000000000001</v>
      </c>
      <c r="CI468" t="s">
        <v>153</v>
      </c>
    </row>
    <row r="469" spans="1:87" x14ac:dyDescent="0.45">
      <c r="A469" t="s">
        <v>24</v>
      </c>
      <c r="B469" t="s">
        <v>4</v>
      </c>
      <c r="C469" t="s">
        <v>46</v>
      </c>
      <c r="D469" t="s">
        <v>154</v>
      </c>
      <c r="E469" t="s">
        <v>26</v>
      </c>
      <c r="F469">
        <v>0.22600000000000001</v>
      </c>
      <c r="K469">
        <v>0.21959999999999999</v>
      </c>
      <c r="P469">
        <v>0</v>
      </c>
      <c r="U469">
        <v>6.9500000000000006E-2</v>
      </c>
      <c r="Z469">
        <v>0</v>
      </c>
      <c r="AE469">
        <v>0</v>
      </c>
      <c r="AJ469">
        <v>0</v>
      </c>
      <c r="CI469" t="s">
        <v>154</v>
      </c>
    </row>
    <row r="470" spans="1:87" x14ac:dyDescent="0.45">
      <c r="A470" t="s">
        <v>24</v>
      </c>
      <c r="B470" t="s">
        <v>4</v>
      </c>
      <c r="C470" t="s">
        <v>46</v>
      </c>
      <c r="D470" t="s">
        <v>155</v>
      </c>
      <c r="E470" t="s">
        <v>26</v>
      </c>
      <c r="F470">
        <v>0.80810000000000004</v>
      </c>
      <c r="K470">
        <v>0.90069999999999995</v>
      </c>
      <c r="P470">
        <v>1.2641</v>
      </c>
      <c r="U470">
        <v>1.2423999999999999</v>
      </c>
      <c r="Z470">
        <v>1.0678000000000001</v>
      </c>
      <c r="AE470">
        <v>1.0992</v>
      </c>
      <c r="AJ470">
        <v>1.2454000000000001</v>
      </c>
      <c r="CI470" t="s">
        <v>155</v>
      </c>
    </row>
    <row r="471" spans="1:87" x14ac:dyDescent="0.45">
      <c r="A471" t="s">
        <v>24</v>
      </c>
      <c r="B471" t="s">
        <v>4</v>
      </c>
      <c r="C471" t="s">
        <v>46</v>
      </c>
      <c r="D471" t="s">
        <v>156</v>
      </c>
      <c r="E471" t="s">
        <v>48</v>
      </c>
      <c r="F471">
        <v>67.640600000000006</v>
      </c>
      <c r="K471">
        <v>56.747999999999998</v>
      </c>
      <c r="P471">
        <v>53.994900000000001</v>
      </c>
      <c r="U471">
        <v>47.4955</v>
      </c>
      <c r="Z471">
        <v>43.303600000000003</v>
      </c>
      <c r="AE471">
        <v>39.079500000000003</v>
      </c>
      <c r="AJ471">
        <v>34.802700000000002</v>
      </c>
      <c r="CI471" t="s">
        <v>156</v>
      </c>
    </row>
    <row r="472" spans="1:87" x14ac:dyDescent="0.45">
      <c r="A472" t="s">
        <v>24</v>
      </c>
      <c r="B472" t="s">
        <v>4</v>
      </c>
      <c r="C472" t="s">
        <v>46</v>
      </c>
      <c r="D472" t="s">
        <v>157</v>
      </c>
      <c r="E472" t="s">
        <v>48</v>
      </c>
      <c r="F472">
        <v>90.899500000000003</v>
      </c>
      <c r="K472">
        <v>81.899000000000001</v>
      </c>
      <c r="P472">
        <v>62.8337</v>
      </c>
      <c r="U472">
        <v>48.019399999999997</v>
      </c>
      <c r="Z472">
        <v>28.799299999999999</v>
      </c>
      <c r="AE472">
        <v>14.7667</v>
      </c>
      <c r="CI472" t="s">
        <v>157</v>
      </c>
    </row>
    <row r="473" spans="1:87" x14ac:dyDescent="0.45">
      <c r="A473" t="s">
        <v>24</v>
      </c>
      <c r="B473" t="s">
        <v>4</v>
      </c>
      <c r="C473" t="s">
        <v>46</v>
      </c>
      <c r="D473" t="s">
        <v>158</v>
      </c>
      <c r="E473" t="s">
        <v>48</v>
      </c>
      <c r="F473">
        <v>6.8491</v>
      </c>
      <c r="K473">
        <v>5.7076000000000002</v>
      </c>
      <c r="P473">
        <v>4.5660999999999996</v>
      </c>
      <c r="U473">
        <v>3.4245999999999999</v>
      </c>
      <c r="Z473">
        <v>2.2829999999999999</v>
      </c>
      <c r="AE473">
        <v>1.1415</v>
      </c>
      <c r="CI473" t="s">
        <v>158</v>
      </c>
    </row>
    <row r="474" spans="1:87" x14ac:dyDescent="0.45">
      <c r="A474" t="s">
        <v>24</v>
      </c>
      <c r="B474" t="s">
        <v>4</v>
      </c>
      <c r="C474" t="s">
        <v>46</v>
      </c>
      <c r="D474" t="s">
        <v>159</v>
      </c>
      <c r="E474" t="s">
        <v>48</v>
      </c>
      <c r="F474">
        <v>34.7941</v>
      </c>
      <c r="K474">
        <v>34.7941</v>
      </c>
      <c r="P474">
        <v>34.7941</v>
      </c>
      <c r="U474">
        <v>34.7941</v>
      </c>
      <c r="Z474">
        <v>34.7941</v>
      </c>
      <c r="AE474">
        <v>34.7941</v>
      </c>
      <c r="AJ474">
        <v>34.7941</v>
      </c>
      <c r="CI474" t="s">
        <v>159</v>
      </c>
    </row>
    <row r="475" spans="1:87" x14ac:dyDescent="0.45">
      <c r="A475" t="s">
        <v>24</v>
      </c>
      <c r="B475" t="s">
        <v>4</v>
      </c>
      <c r="C475" t="s">
        <v>46</v>
      </c>
      <c r="D475" t="s">
        <v>160</v>
      </c>
      <c r="E475" t="s">
        <v>66</v>
      </c>
      <c r="F475">
        <v>4.1596000000000002</v>
      </c>
      <c r="K475">
        <v>3.4664000000000001</v>
      </c>
      <c r="P475">
        <v>2.7730999999999999</v>
      </c>
      <c r="U475">
        <v>2.0798000000000001</v>
      </c>
      <c r="Z475">
        <v>1.3865000000000001</v>
      </c>
      <c r="AE475">
        <v>0.69330000000000003</v>
      </c>
      <c r="CI475" t="s">
        <v>160</v>
      </c>
    </row>
    <row r="476" spans="1:87" x14ac:dyDescent="0.45">
      <c r="A476" t="s">
        <v>24</v>
      </c>
      <c r="B476" t="s">
        <v>4</v>
      </c>
      <c r="C476" t="s">
        <v>46</v>
      </c>
      <c r="D476" t="s">
        <v>161</v>
      </c>
      <c r="E476" t="s">
        <v>26</v>
      </c>
      <c r="F476">
        <v>-1.4251</v>
      </c>
      <c r="K476">
        <v>-0.87160000000000004</v>
      </c>
      <c r="P476">
        <v>-0.61770000000000003</v>
      </c>
      <c r="U476">
        <v>-0.2762</v>
      </c>
      <c r="Z476">
        <v>0.1835</v>
      </c>
      <c r="AE476">
        <v>0.10979999999999999</v>
      </c>
      <c r="CI476" t="s">
        <v>161</v>
      </c>
    </row>
    <row r="477" spans="1:87" x14ac:dyDescent="0.45">
      <c r="A477" t="s">
        <v>24</v>
      </c>
      <c r="B477" t="s">
        <v>4</v>
      </c>
      <c r="C477" t="s">
        <v>46</v>
      </c>
      <c r="D477" t="s">
        <v>162</v>
      </c>
      <c r="E477" t="s">
        <v>26</v>
      </c>
      <c r="F477">
        <v>-0.2858</v>
      </c>
      <c r="K477">
        <v>-0.2389</v>
      </c>
      <c r="P477">
        <v>-0.22450000000000001</v>
      </c>
      <c r="U477">
        <v>-0.14380000000000001</v>
      </c>
      <c r="Z477">
        <v>-9.6100000000000005E-2</v>
      </c>
      <c r="AE477">
        <v>-4.02E-2</v>
      </c>
      <c r="CI477" t="s">
        <v>162</v>
      </c>
    </row>
    <row r="478" spans="1:87" x14ac:dyDescent="0.45">
      <c r="A478" t="s">
        <v>24</v>
      </c>
      <c r="B478" t="s">
        <v>4</v>
      </c>
      <c r="C478" t="s">
        <v>46</v>
      </c>
      <c r="D478" t="s">
        <v>163</v>
      </c>
      <c r="E478" t="s">
        <v>26</v>
      </c>
      <c r="F478">
        <v>-0.49149999999999999</v>
      </c>
      <c r="K478">
        <v>-0.43180000000000002</v>
      </c>
      <c r="P478">
        <v>-0.32700000000000001</v>
      </c>
      <c r="U478">
        <v>-0.2026</v>
      </c>
      <c r="Z478">
        <v>-7.6999999999999999E-2</v>
      </c>
      <c r="AE478">
        <v>-4.0899999999999999E-2</v>
      </c>
      <c r="CI478" t="s">
        <v>163</v>
      </c>
    </row>
    <row r="479" spans="1:87" x14ac:dyDescent="0.45">
      <c r="A479" t="s">
        <v>24</v>
      </c>
      <c r="B479" t="s">
        <v>4</v>
      </c>
      <c r="C479" t="s">
        <v>46</v>
      </c>
      <c r="D479" t="s">
        <v>164</v>
      </c>
      <c r="E479" t="s">
        <v>26</v>
      </c>
      <c r="F479">
        <v>-0.49149999999999999</v>
      </c>
      <c r="K479">
        <v>-0.43180000000000002</v>
      </c>
      <c r="P479">
        <v>-0.32700000000000001</v>
      </c>
      <c r="U479">
        <v>-0.2026</v>
      </c>
      <c r="Z479">
        <v>-7.6999999999999999E-2</v>
      </c>
      <c r="AE479">
        <v>-4.0899999999999999E-2</v>
      </c>
      <c r="CI479" t="s">
        <v>164</v>
      </c>
    </row>
    <row r="480" spans="1:87" x14ac:dyDescent="0.45">
      <c r="A480" t="s">
        <v>24</v>
      </c>
      <c r="B480" t="s">
        <v>4</v>
      </c>
      <c r="C480" t="s">
        <v>46</v>
      </c>
      <c r="D480" t="s">
        <v>165</v>
      </c>
      <c r="E480" t="s">
        <v>26</v>
      </c>
      <c r="F480">
        <v>0.33629999999999999</v>
      </c>
      <c r="K480">
        <v>0.2208</v>
      </c>
      <c r="P480">
        <v>0.189</v>
      </c>
      <c r="U480">
        <v>0.11899999999999999</v>
      </c>
      <c r="Z480">
        <v>7.6899999999999996E-2</v>
      </c>
      <c r="AE480">
        <v>3.6200000000000003E-2</v>
      </c>
      <c r="AJ480">
        <v>1E-4</v>
      </c>
      <c r="CI480" t="s">
        <v>165</v>
      </c>
    </row>
    <row r="481" spans="1:87" x14ac:dyDescent="0.45">
      <c r="A481" t="s">
        <v>24</v>
      </c>
      <c r="B481" t="s">
        <v>4</v>
      </c>
      <c r="C481" t="s">
        <v>46</v>
      </c>
      <c r="D481" t="s">
        <v>167</v>
      </c>
      <c r="E481" t="s">
        <v>26</v>
      </c>
      <c r="F481">
        <v>0.33629999999999999</v>
      </c>
      <c r="K481">
        <v>0.2208</v>
      </c>
      <c r="P481">
        <v>0.189</v>
      </c>
      <c r="U481">
        <v>0.11899999999999999</v>
      </c>
      <c r="Z481">
        <v>7.6899999999999996E-2</v>
      </c>
      <c r="AE481">
        <v>3.6200000000000003E-2</v>
      </c>
      <c r="AJ481">
        <v>1E-4</v>
      </c>
      <c r="CI481" t="s">
        <v>167</v>
      </c>
    </row>
    <row r="482" spans="1:87" x14ac:dyDescent="0.45">
      <c r="A482" t="s">
        <v>24</v>
      </c>
      <c r="B482" t="s">
        <v>4</v>
      </c>
      <c r="C482" t="s">
        <v>46</v>
      </c>
      <c r="D482" t="s">
        <v>168</v>
      </c>
      <c r="E482" t="s">
        <v>26</v>
      </c>
      <c r="F482">
        <v>-1.022</v>
      </c>
      <c r="K482">
        <v>-0.77380000000000004</v>
      </c>
      <c r="P482">
        <v>-0.65139999999999998</v>
      </c>
      <c r="U482">
        <v>-0.55049999999999999</v>
      </c>
      <c r="Z482">
        <v>-0.39610000000000001</v>
      </c>
      <c r="AE482">
        <v>-0.22189999999999999</v>
      </c>
      <c r="CI482" t="s">
        <v>168</v>
      </c>
    </row>
    <row r="483" spans="1:87" x14ac:dyDescent="0.45">
      <c r="A483" t="s">
        <v>24</v>
      </c>
      <c r="B483" t="s">
        <v>4</v>
      </c>
      <c r="C483" t="s">
        <v>46</v>
      </c>
      <c r="D483" t="s">
        <v>169</v>
      </c>
      <c r="E483" t="s">
        <v>26</v>
      </c>
      <c r="F483">
        <v>-1.022</v>
      </c>
      <c r="K483">
        <v>-0.77380000000000004</v>
      </c>
      <c r="P483">
        <v>-0.65139999999999998</v>
      </c>
      <c r="U483">
        <v>-0.55049999999999999</v>
      </c>
      <c r="Z483">
        <v>-0.39610000000000001</v>
      </c>
      <c r="AE483">
        <v>-0.22189999999999999</v>
      </c>
      <c r="CI483" t="s">
        <v>169</v>
      </c>
    </row>
    <row r="484" spans="1:87" x14ac:dyDescent="0.45">
      <c r="A484" t="s">
        <v>24</v>
      </c>
      <c r="B484" t="s">
        <v>4</v>
      </c>
      <c r="C484" t="s">
        <v>46</v>
      </c>
      <c r="D484" t="s">
        <v>170</v>
      </c>
      <c r="E484" t="s">
        <v>26</v>
      </c>
      <c r="F484">
        <v>1.18E-2</v>
      </c>
      <c r="K484">
        <v>7.7999999999999996E-3</v>
      </c>
      <c r="P484">
        <v>4.8999999999999998E-3</v>
      </c>
      <c r="U484">
        <v>2.8999999999999998E-3</v>
      </c>
      <c r="Z484">
        <v>1.5E-3</v>
      </c>
      <c r="AE484">
        <v>5.9999999999999995E-4</v>
      </c>
      <c r="CI484" t="s">
        <v>170</v>
      </c>
    </row>
    <row r="485" spans="1:87" x14ac:dyDescent="0.45">
      <c r="A485" t="s">
        <v>24</v>
      </c>
      <c r="B485" t="s">
        <v>4</v>
      </c>
      <c r="C485" t="s">
        <v>46</v>
      </c>
      <c r="D485" t="s">
        <v>171</v>
      </c>
      <c r="E485" t="s">
        <v>26</v>
      </c>
      <c r="F485">
        <v>-0.1459</v>
      </c>
      <c r="K485">
        <v>-0.1207</v>
      </c>
      <c r="P485">
        <v>-9.5799999999999996E-2</v>
      </c>
      <c r="U485">
        <v>-7.1300000000000002E-2</v>
      </c>
      <c r="Z485">
        <v>-4.7199999999999999E-2</v>
      </c>
      <c r="AE485">
        <v>-2.3400000000000001E-2</v>
      </c>
      <c r="CI485" t="s">
        <v>171</v>
      </c>
    </row>
    <row r="486" spans="1:87" x14ac:dyDescent="0.45">
      <c r="A486" t="s">
        <v>24</v>
      </c>
      <c r="B486" t="s">
        <v>4</v>
      </c>
      <c r="C486" t="s">
        <v>46</v>
      </c>
      <c r="D486" t="s">
        <v>172</v>
      </c>
      <c r="E486" t="s">
        <v>26</v>
      </c>
      <c r="F486">
        <v>-4.2999999999999997E-2</v>
      </c>
      <c r="K486">
        <v>-3.56E-2</v>
      </c>
      <c r="P486">
        <v>-2.7199999999999998E-2</v>
      </c>
      <c r="U486">
        <v>-1.52E-2</v>
      </c>
      <c r="Z486">
        <v>-8.2000000000000007E-3</v>
      </c>
      <c r="AE486">
        <v>-2.3E-3</v>
      </c>
      <c r="CI486" t="s">
        <v>172</v>
      </c>
    </row>
    <row r="487" spans="1:87" x14ac:dyDescent="0.45">
      <c r="A487" t="s">
        <v>24</v>
      </c>
      <c r="B487" t="s">
        <v>4</v>
      </c>
      <c r="C487" t="s">
        <v>46</v>
      </c>
      <c r="D487" t="s">
        <v>173</v>
      </c>
      <c r="E487" t="s">
        <v>26</v>
      </c>
      <c r="F487">
        <v>0.5222</v>
      </c>
      <c r="K487">
        <v>0.52039999999999997</v>
      </c>
      <c r="P487">
        <v>0.38</v>
      </c>
      <c r="U487">
        <v>0.30449999999999999</v>
      </c>
      <c r="Z487">
        <v>0.18970000000000001</v>
      </c>
      <c r="AE487">
        <v>9.2899999999999996E-2</v>
      </c>
      <c r="CI487" t="s">
        <v>173</v>
      </c>
    </row>
    <row r="488" spans="1:87" x14ac:dyDescent="0.45">
      <c r="A488" t="s">
        <v>24</v>
      </c>
      <c r="B488" t="s">
        <v>4</v>
      </c>
      <c r="C488" t="s">
        <v>46</v>
      </c>
      <c r="D488" t="s">
        <v>174</v>
      </c>
      <c r="E488" t="s">
        <v>26</v>
      </c>
      <c r="F488">
        <v>0.5222</v>
      </c>
      <c r="K488">
        <v>0.52039999999999997</v>
      </c>
      <c r="P488">
        <v>0.38</v>
      </c>
      <c r="U488">
        <v>0.30449999999999999</v>
      </c>
      <c r="Z488">
        <v>0.18970000000000001</v>
      </c>
      <c r="AE488">
        <v>9.2899999999999996E-2</v>
      </c>
      <c r="CI488" t="s">
        <v>174</v>
      </c>
    </row>
    <row r="489" spans="1:87" x14ac:dyDescent="0.45">
      <c r="A489" t="s">
        <v>24</v>
      </c>
      <c r="B489" t="s">
        <v>4</v>
      </c>
      <c r="C489" t="s">
        <v>46</v>
      </c>
      <c r="D489" t="s">
        <v>175</v>
      </c>
      <c r="E489" t="s">
        <v>26</v>
      </c>
      <c r="F489">
        <v>0.3821</v>
      </c>
      <c r="K489">
        <v>0.4869</v>
      </c>
      <c r="P489">
        <v>0.53600000000000003</v>
      </c>
      <c r="U489">
        <v>0.72860000000000003</v>
      </c>
      <c r="Z489">
        <v>0.86609999999999998</v>
      </c>
      <c r="AE489">
        <v>0.46679999999999999</v>
      </c>
      <c r="CI489" t="s">
        <v>175</v>
      </c>
    </row>
    <row r="490" spans="1:87" x14ac:dyDescent="0.45">
      <c r="A490" t="s">
        <v>24</v>
      </c>
      <c r="B490" t="s">
        <v>4</v>
      </c>
      <c r="C490" t="s">
        <v>46</v>
      </c>
      <c r="D490" t="s">
        <v>176</v>
      </c>
      <c r="E490" t="s">
        <v>26</v>
      </c>
      <c r="F490">
        <v>-0.35310000000000002</v>
      </c>
      <c r="K490">
        <v>-0.28589999999999999</v>
      </c>
      <c r="P490">
        <v>-0.2127</v>
      </c>
      <c r="U490">
        <v>-0.32879999999999998</v>
      </c>
      <c r="Z490">
        <v>-0.2492</v>
      </c>
      <c r="AE490">
        <v>-0.1217</v>
      </c>
      <c r="CI490" t="s">
        <v>176</v>
      </c>
    </row>
    <row r="491" spans="1:87" x14ac:dyDescent="0.45">
      <c r="A491" t="s">
        <v>24</v>
      </c>
      <c r="B491" t="s">
        <v>4</v>
      </c>
      <c r="C491" t="s">
        <v>46</v>
      </c>
      <c r="D491" t="s">
        <v>177</v>
      </c>
      <c r="E491" t="s">
        <v>26</v>
      </c>
      <c r="F491">
        <v>-1.4629000000000001</v>
      </c>
      <c r="K491">
        <v>-1.1855</v>
      </c>
      <c r="P491">
        <v>-0.91979999999999995</v>
      </c>
      <c r="U491">
        <v>-1.0114000000000001</v>
      </c>
      <c r="Z491">
        <v>-1.012</v>
      </c>
      <c r="AE491">
        <v>-0.49009999999999998</v>
      </c>
      <c r="AJ491">
        <v>-2.0000000000000001E-4</v>
      </c>
      <c r="CI491" t="s">
        <v>177</v>
      </c>
    </row>
    <row r="492" spans="1:87" x14ac:dyDescent="0.45">
      <c r="A492" t="s">
        <v>24</v>
      </c>
      <c r="B492" t="s">
        <v>4</v>
      </c>
      <c r="C492" t="s">
        <v>46</v>
      </c>
      <c r="D492" t="s">
        <v>178</v>
      </c>
      <c r="E492" t="s">
        <v>26</v>
      </c>
      <c r="F492">
        <v>-0.34260000000000002</v>
      </c>
      <c r="K492">
        <v>-0.25990000000000002</v>
      </c>
      <c r="P492">
        <v>-0.14849999999999999</v>
      </c>
      <c r="U492">
        <v>-8.8099999999999998E-2</v>
      </c>
      <c r="Z492">
        <v>-4.2799999999999998E-2</v>
      </c>
      <c r="AE492">
        <v>-6.7999999999999996E-3</v>
      </c>
      <c r="CI492" t="s">
        <v>178</v>
      </c>
    </row>
    <row r="493" spans="1:87" x14ac:dyDescent="0.45">
      <c r="A493" t="s">
        <v>24</v>
      </c>
      <c r="B493" t="s">
        <v>4</v>
      </c>
      <c r="C493" t="s">
        <v>46</v>
      </c>
      <c r="D493" t="s">
        <v>179</v>
      </c>
      <c r="E493" t="s">
        <v>26</v>
      </c>
      <c r="F493">
        <v>0.15049999999999999</v>
      </c>
      <c r="K493">
        <v>0.13189999999999999</v>
      </c>
      <c r="P493">
        <v>9.64E-2</v>
      </c>
      <c r="U493">
        <v>6.0100000000000001E-2</v>
      </c>
      <c r="Z493">
        <v>2.4400000000000002E-2</v>
      </c>
      <c r="AE493">
        <v>1.35E-2</v>
      </c>
      <c r="CI493" t="s">
        <v>179</v>
      </c>
    </row>
    <row r="494" spans="1:87" x14ac:dyDescent="0.45">
      <c r="A494" t="s">
        <v>24</v>
      </c>
      <c r="B494" t="s">
        <v>4</v>
      </c>
      <c r="C494" t="s">
        <v>46</v>
      </c>
      <c r="D494" t="s">
        <v>180</v>
      </c>
      <c r="E494" t="s">
        <v>26</v>
      </c>
      <c r="F494">
        <v>-0.30009999999999998</v>
      </c>
      <c r="K494">
        <v>-0.29199999999999998</v>
      </c>
      <c r="P494">
        <v>-0.30590000000000001</v>
      </c>
      <c r="U494">
        <v>-0.25480000000000003</v>
      </c>
      <c r="Z494">
        <v>-0.1842</v>
      </c>
      <c r="AE494">
        <v>-0.10059999999999999</v>
      </c>
      <c r="CI494" t="s">
        <v>180</v>
      </c>
    </row>
    <row r="495" spans="1:87" x14ac:dyDescent="0.45">
      <c r="A495" t="s">
        <v>24</v>
      </c>
      <c r="B495" t="s">
        <v>4</v>
      </c>
      <c r="C495" t="s">
        <v>46</v>
      </c>
      <c r="D495" t="s">
        <v>181</v>
      </c>
      <c r="E495" t="s">
        <v>26</v>
      </c>
      <c r="F495">
        <v>1.7399999999999999E-2</v>
      </c>
      <c r="K495">
        <v>1.1599999999999999E-2</v>
      </c>
      <c r="P495">
        <v>7.4999999999999997E-3</v>
      </c>
      <c r="U495">
        <v>4.4999999999999997E-3</v>
      </c>
      <c r="Z495">
        <v>2.3999999999999998E-3</v>
      </c>
      <c r="AE495">
        <v>1E-3</v>
      </c>
      <c r="CI495" t="s">
        <v>181</v>
      </c>
    </row>
    <row r="496" spans="1:87" x14ac:dyDescent="0.45">
      <c r="A496" t="s">
        <v>24</v>
      </c>
      <c r="B496" t="s">
        <v>4</v>
      </c>
      <c r="C496" t="s">
        <v>46</v>
      </c>
      <c r="D496" t="s">
        <v>182</v>
      </c>
      <c r="E496" t="s">
        <v>26</v>
      </c>
      <c r="F496">
        <v>-0.1459</v>
      </c>
      <c r="K496">
        <v>-0.1207</v>
      </c>
      <c r="P496">
        <v>-9.5799999999999996E-2</v>
      </c>
      <c r="U496">
        <v>-7.1300000000000002E-2</v>
      </c>
      <c r="Z496">
        <v>-4.7199999999999999E-2</v>
      </c>
      <c r="AE496">
        <v>-2.3400000000000001E-2</v>
      </c>
      <c r="CI496" t="s">
        <v>182</v>
      </c>
    </row>
    <row r="497" spans="1:87" x14ac:dyDescent="0.45">
      <c r="A497" t="s">
        <v>24</v>
      </c>
      <c r="B497" t="s">
        <v>4</v>
      </c>
      <c r="C497" t="s">
        <v>46</v>
      </c>
      <c r="D497" t="s">
        <v>183</v>
      </c>
      <c r="E497" t="s">
        <v>26</v>
      </c>
      <c r="F497">
        <v>-4.65E-2</v>
      </c>
      <c r="K497">
        <v>-3.8600000000000002E-2</v>
      </c>
      <c r="P497">
        <v>-2.9399999999999999E-2</v>
      </c>
      <c r="U497">
        <v>-1.6400000000000001E-2</v>
      </c>
      <c r="Z497">
        <v>-8.8000000000000005E-3</v>
      </c>
      <c r="AE497">
        <v>-2.5000000000000001E-3</v>
      </c>
      <c r="CI497" t="s">
        <v>183</v>
      </c>
    </row>
    <row r="498" spans="1:87" x14ac:dyDescent="0.45">
      <c r="A498" t="s">
        <v>24</v>
      </c>
      <c r="B498" t="s">
        <v>4</v>
      </c>
      <c r="C498" t="s">
        <v>46</v>
      </c>
      <c r="D498" t="s">
        <v>184</v>
      </c>
      <c r="E498" t="s">
        <v>26</v>
      </c>
      <c r="F498">
        <v>-5.6000000000000001E-2</v>
      </c>
      <c r="K498">
        <v>-4.6399999999999997E-2</v>
      </c>
      <c r="P498">
        <v>-2.7E-2</v>
      </c>
      <c r="U498">
        <v>-1.04E-2</v>
      </c>
      <c r="CI498" t="s">
        <v>184</v>
      </c>
    </row>
    <row r="499" spans="1:87" x14ac:dyDescent="0.45">
      <c r="A499" t="s">
        <v>24</v>
      </c>
      <c r="B499" t="s">
        <v>4</v>
      </c>
      <c r="C499" t="s">
        <v>46</v>
      </c>
      <c r="D499" t="s">
        <v>185</v>
      </c>
      <c r="E499" t="s">
        <v>26</v>
      </c>
      <c r="F499">
        <v>-0.3478</v>
      </c>
      <c r="K499">
        <v>-0.24729999999999999</v>
      </c>
      <c r="P499">
        <v>-0.1714</v>
      </c>
      <c r="U499">
        <v>-0.2853</v>
      </c>
      <c r="Z499">
        <v>-0.49919999999999998</v>
      </c>
      <c r="AE499">
        <v>-0.24</v>
      </c>
      <c r="CI499" t="s">
        <v>185</v>
      </c>
    </row>
    <row r="500" spans="1:87" x14ac:dyDescent="0.45">
      <c r="A500" t="s">
        <v>24</v>
      </c>
      <c r="B500" t="s">
        <v>4</v>
      </c>
      <c r="C500" t="s">
        <v>46</v>
      </c>
      <c r="D500" t="s">
        <v>186</v>
      </c>
      <c r="E500" t="s">
        <v>26</v>
      </c>
      <c r="F500">
        <v>-0.35310000000000002</v>
      </c>
      <c r="K500">
        <v>-0.28589999999999999</v>
      </c>
      <c r="P500">
        <v>-0.2127</v>
      </c>
      <c r="U500">
        <v>-0.32879999999999998</v>
      </c>
      <c r="Z500">
        <v>-0.2492</v>
      </c>
      <c r="AE500">
        <v>-0.1217</v>
      </c>
      <c r="CI500" t="s">
        <v>186</v>
      </c>
    </row>
    <row r="501" spans="1:87" x14ac:dyDescent="0.45">
      <c r="A501" t="s">
        <v>24</v>
      </c>
      <c r="B501" t="s">
        <v>4</v>
      </c>
      <c r="C501" t="s">
        <v>46</v>
      </c>
      <c r="D501" t="s">
        <v>187</v>
      </c>
      <c r="E501" t="s">
        <v>26</v>
      </c>
      <c r="F501">
        <v>0</v>
      </c>
      <c r="K501">
        <v>0</v>
      </c>
      <c r="P501">
        <v>-1.0644</v>
      </c>
      <c r="U501">
        <v>-0.55649999999999999</v>
      </c>
      <c r="Z501">
        <v>-1.1706000000000001</v>
      </c>
      <c r="AE501">
        <v>-0.53459999999999996</v>
      </c>
      <c r="AJ501">
        <v>-0.41739999999999999</v>
      </c>
      <c r="CI501" t="s">
        <v>187</v>
      </c>
    </row>
    <row r="502" spans="1:87" x14ac:dyDescent="0.45">
      <c r="A502" t="s">
        <v>24</v>
      </c>
      <c r="B502" t="s">
        <v>4</v>
      </c>
      <c r="C502" t="s">
        <v>46</v>
      </c>
      <c r="D502" t="s">
        <v>188</v>
      </c>
      <c r="E502" t="s">
        <v>26</v>
      </c>
      <c r="F502">
        <v>0</v>
      </c>
      <c r="K502">
        <v>0</v>
      </c>
      <c r="P502">
        <v>0</v>
      </c>
      <c r="U502">
        <v>0</v>
      </c>
      <c r="Z502">
        <v>0</v>
      </c>
      <c r="AE502">
        <v>0</v>
      </c>
      <c r="AJ502">
        <v>0.1014</v>
      </c>
      <c r="CI502" t="s">
        <v>188</v>
      </c>
    </row>
    <row r="503" spans="1:87" x14ac:dyDescent="0.45">
      <c r="A503" t="s">
        <v>24</v>
      </c>
      <c r="B503" t="s">
        <v>4</v>
      </c>
      <c r="C503" t="s">
        <v>46</v>
      </c>
      <c r="D503" t="s">
        <v>189</v>
      </c>
      <c r="E503" t="s">
        <v>26</v>
      </c>
      <c r="F503">
        <v>-0.32550000000000001</v>
      </c>
      <c r="K503">
        <v>-0.52510000000000001</v>
      </c>
      <c r="P503">
        <v>-0.75639999999999996</v>
      </c>
      <c r="U503">
        <v>-0.33300000000000002</v>
      </c>
      <c r="Z503">
        <v>-1.1000000000000001E-3</v>
      </c>
      <c r="AE503">
        <v>0</v>
      </c>
      <c r="AJ503">
        <v>0</v>
      </c>
      <c r="CI503" t="s">
        <v>189</v>
      </c>
    </row>
    <row r="504" spans="1:87" x14ac:dyDescent="0.45">
      <c r="A504" t="s">
        <v>24</v>
      </c>
      <c r="B504" t="s">
        <v>4</v>
      </c>
      <c r="C504" t="s">
        <v>46</v>
      </c>
      <c r="D504" t="s">
        <v>190</v>
      </c>
      <c r="E504" t="s">
        <v>26</v>
      </c>
      <c r="F504">
        <v>-8.6461000000000006</v>
      </c>
      <c r="K504">
        <v>-8.4498999999999995</v>
      </c>
      <c r="P504">
        <v>-9.2966999999999995</v>
      </c>
      <c r="U504">
        <v>-10.111499999999999</v>
      </c>
      <c r="Z504">
        <v>-9.2470999999999997</v>
      </c>
      <c r="AE504">
        <v>-9.8117999999999999</v>
      </c>
      <c r="AJ504">
        <v>-8.4069000000000003</v>
      </c>
      <c r="CI504" t="s">
        <v>190</v>
      </c>
    </row>
    <row r="505" spans="1:87" x14ac:dyDescent="0.45">
      <c r="A505" t="s">
        <v>24</v>
      </c>
      <c r="B505" t="s">
        <v>4</v>
      </c>
      <c r="C505" t="s">
        <v>46</v>
      </c>
      <c r="D505" t="s">
        <v>191</v>
      </c>
      <c r="E505" t="s">
        <v>26</v>
      </c>
      <c r="F505">
        <v>68.188800073462289</v>
      </c>
      <c r="K505">
        <v>72.675529650447032</v>
      </c>
      <c r="P505">
        <v>71.693048168158413</v>
      </c>
      <c r="U505">
        <v>77.326740179457531</v>
      </c>
      <c r="Z505">
        <v>77.965740090614446</v>
      </c>
      <c r="AE505">
        <v>79.713420056980411</v>
      </c>
      <c r="AJ505">
        <v>80.483629999968826</v>
      </c>
      <c r="CI505" t="s">
        <v>191</v>
      </c>
    </row>
    <row r="506" spans="1:87" x14ac:dyDescent="0.45">
      <c r="A506" t="s">
        <v>24</v>
      </c>
      <c r="B506" t="s">
        <v>4</v>
      </c>
      <c r="C506" t="s">
        <v>46</v>
      </c>
      <c r="D506" t="s">
        <v>192</v>
      </c>
      <c r="E506" t="s">
        <v>26</v>
      </c>
      <c r="F506">
        <v>14.8443450498294</v>
      </c>
      <c r="K506">
        <v>15.97991498578242</v>
      </c>
      <c r="P506">
        <v>17.624175074730399</v>
      </c>
      <c r="U506">
        <v>18.94613500649977</v>
      </c>
      <c r="Z506">
        <v>19.92304503819344</v>
      </c>
      <c r="AE506">
        <v>21.394250001203091</v>
      </c>
      <c r="AJ506">
        <v>21.576275000063251</v>
      </c>
      <c r="CI506" t="s">
        <v>192</v>
      </c>
    </row>
    <row r="507" spans="1:87" x14ac:dyDescent="0.45">
      <c r="A507" t="s">
        <v>24</v>
      </c>
      <c r="B507" t="s">
        <v>4</v>
      </c>
      <c r="C507" t="s">
        <v>46</v>
      </c>
      <c r="D507" t="s">
        <v>193</v>
      </c>
      <c r="E507" t="s">
        <v>26</v>
      </c>
      <c r="F507">
        <v>2.444040089143527</v>
      </c>
      <c r="K507">
        <v>2.6170799909075551</v>
      </c>
      <c r="P507">
        <v>2.7121200100729079</v>
      </c>
      <c r="U507">
        <v>2.7668400002253231</v>
      </c>
      <c r="Z507">
        <v>2.8113600020170399</v>
      </c>
      <c r="AE507">
        <v>2.8966799999455781</v>
      </c>
      <c r="AJ507">
        <v>2.9875199999881321</v>
      </c>
      <c r="CI507" t="s">
        <v>193</v>
      </c>
    </row>
    <row r="508" spans="1:87" x14ac:dyDescent="0.45">
      <c r="A508" t="s">
        <v>24</v>
      </c>
      <c r="B508" t="s">
        <v>4</v>
      </c>
      <c r="C508" t="s">
        <v>46</v>
      </c>
      <c r="D508" t="s">
        <v>194</v>
      </c>
      <c r="E508" t="s">
        <v>26</v>
      </c>
      <c r="F508">
        <v>6.6413548369464479</v>
      </c>
      <c r="K508">
        <v>4.977525043129333</v>
      </c>
      <c r="P508">
        <v>4.3529846157589418</v>
      </c>
      <c r="U508">
        <v>5.3530050032970031</v>
      </c>
      <c r="Z508">
        <v>5.9983350595980482</v>
      </c>
      <c r="AE508">
        <v>7.2273599950449636</v>
      </c>
      <c r="AJ508">
        <v>7.937684999867435</v>
      </c>
      <c r="CI508" t="s">
        <v>194</v>
      </c>
    </row>
    <row r="509" spans="1:87" x14ac:dyDescent="0.45">
      <c r="A509" t="s">
        <v>24</v>
      </c>
      <c r="B509" t="s">
        <v>4</v>
      </c>
      <c r="C509" t="s">
        <v>46</v>
      </c>
      <c r="D509" t="s">
        <v>195</v>
      </c>
      <c r="E509" t="s">
        <v>26</v>
      </c>
      <c r="F509">
        <v>1.9247920590714781E-8</v>
      </c>
      <c r="K509">
        <v>0.1126400039736612</v>
      </c>
      <c r="P509">
        <v>0.2794000735460429</v>
      </c>
      <c r="U509">
        <v>8.0080002110811593E-2</v>
      </c>
      <c r="Z509">
        <v>0.16873999167336251</v>
      </c>
      <c r="AE509">
        <v>0.16874000048693699</v>
      </c>
      <c r="AJ509">
        <v>0.15092000000511349</v>
      </c>
      <c r="CI509" t="s">
        <v>195</v>
      </c>
    </row>
    <row r="510" spans="1:87" x14ac:dyDescent="0.45">
      <c r="A510" t="s">
        <v>24</v>
      </c>
      <c r="B510" t="s">
        <v>4</v>
      </c>
      <c r="C510" t="s">
        <v>46</v>
      </c>
      <c r="D510" t="s">
        <v>196</v>
      </c>
      <c r="E510" t="s">
        <v>26</v>
      </c>
      <c r="F510">
        <v>2.3955806227604622E-9</v>
      </c>
      <c r="K510">
        <v>8.3709996366910497E-2</v>
      </c>
      <c r="P510">
        <v>8.4259976991209101E-2</v>
      </c>
      <c r="U510">
        <v>0.17786999991296379</v>
      </c>
      <c r="Z510">
        <v>0.27499999691016791</v>
      </c>
      <c r="AE510">
        <v>0.3335200016363275</v>
      </c>
      <c r="AJ510">
        <v>0.3352800000015142</v>
      </c>
      <c r="CI510" t="s">
        <v>196</v>
      </c>
    </row>
    <row r="511" spans="1:87" x14ac:dyDescent="0.45">
      <c r="A511" t="s">
        <v>24</v>
      </c>
      <c r="B511" t="s">
        <v>4</v>
      </c>
      <c r="C511" t="s">
        <v>46</v>
      </c>
      <c r="D511" t="s">
        <v>197</v>
      </c>
      <c r="E511" t="s">
        <v>26</v>
      </c>
      <c r="F511">
        <v>4.8432000430652806</v>
      </c>
      <c r="K511">
        <v>7.1949999478892579</v>
      </c>
      <c r="P511">
        <v>9.0723003808628278</v>
      </c>
      <c r="U511">
        <v>9.3996000001436872</v>
      </c>
      <c r="Z511">
        <v>9.7273999663977957</v>
      </c>
      <c r="AE511">
        <v>9.7973000043115235</v>
      </c>
      <c r="AJ511">
        <v>9.0612000002259716</v>
      </c>
      <c r="CI511" t="s">
        <v>197</v>
      </c>
    </row>
    <row r="512" spans="1:87" x14ac:dyDescent="0.45">
      <c r="A512" t="s">
        <v>24</v>
      </c>
      <c r="B512" t="s">
        <v>4</v>
      </c>
      <c r="C512" t="s">
        <v>46</v>
      </c>
      <c r="D512" t="s">
        <v>198</v>
      </c>
      <c r="E512" t="s">
        <v>26</v>
      </c>
      <c r="F512">
        <v>0.91575005903064277</v>
      </c>
      <c r="K512">
        <v>0.99396000351569924</v>
      </c>
      <c r="P512">
        <v>1.1231100174984729</v>
      </c>
      <c r="U512">
        <v>1.1687400008099831</v>
      </c>
      <c r="Z512">
        <v>0.94221002159702039</v>
      </c>
      <c r="AE512">
        <v>0.97064999977775923</v>
      </c>
      <c r="AJ512">
        <v>1.1036699999750861</v>
      </c>
      <c r="CI512" t="s">
        <v>198</v>
      </c>
    </row>
    <row r="513" spans="1:87" x14ac:dyDescent="0.45">
      <c r="A513" t="s">
        <v>24</v>
      </c>
      <c r="B513" t="s">
        <v>4</v>
      </c>
      <c r="C513" t="s">
        <v>46</v>
      </c>
      <c r="D513" t="s">
        <v>199</v>
      </c>
      <c r="E513" t="s">
        <v>26</v>
      </c>
      <c r="F513">
        <v>27.894455000322459</v>
      </c>
      <c r="K513">
        <v>29.485714920285641</v>
      </c>
      <c r="P513">
        <v>30.06827534023159</v>
      </c>
      <c r="U513">
        <v>29.59790496553337</v>
      </c>
      <c r="Z513">
        <v>29.052095009229479</v>
      </c>
      <c r="AE513">
        <v>29.1618700476204</v>
      </c>
      <c r="AJ513">
        <v>29.563854999952291</v>
      </c>
      <c r="CI513" t="s">
        <v>199</v>
      </c>
    </row>
    <row r="514" spans="1:87" x14ac:dyDescent="0.45">
      <c r="A514" t="s">
        <v>24</v>
      </c>
      <c r="B514" t="s">
        <v>4</v>
      </c>
      <c r="C514" t="s">
        <v>46</v>
      </c>
      <c r="D514" t="s">
        <v>200</v>
      </c>
      <c r="E514" t="s">
        <v>26</v>
      </c>
      <c r="F514">
        <v>17.68574999185569</v>
      </c>
      <c r="K514">
        <v>18.775949975704808</v>
      </c>
      <c r="P514">
        <v>19.64534996828473</v>
      </c>
      <c r="U514">
        <v>20.664899992282631</v>
      </c>
      <c r="Z514">
        <v>21.44219996746483</v>
      </c>
      <c r="AE514">
        <v>21.991650000649159</v>
      </c>
      <c r="AJ514">
        <v>22.354949999964202</v>
      </c>
      <c r="CI514" t="s">
        <v>200</v>
      </c>
    </row>
    <row r="515" spans="1:87" x14ac:dyDescent="0.45">
      <c r="A515" t="s">
        <v>24</v>
      </c>
      <c r="B515" t="s">
        <v>4</v>
      </c>
      <c r="C515" t="s">
        <v>46</v>
      </c>
      <c r="D515" t="s">
        <v>201</v>
      </c>
      <c r="E515" t="s">
        <v>26</v>
      </c>
      <c r="F515">
        <v>6.751604999325945</v>
      </c>
      <c r="K515">
        <v>5.7127350220248978</v>
      </c>
      <c r="P515">
        <v>5.0585848749550726</v>
      </c>
      <c r="U515">
        <v>5.0724449952649593</v>
      </c>
      <c r="Z515">
        <v>5.508195003272391</v>
      </c>
      <c r="AE515">
        <v>5.9833200212160023</v>
      </c>
      <c r="AJ515">
        <v>6.027105000008496</v>
      </c>
      <c r="CI515" t="s">
        <v>201</v>
      </c>
    </row>
    <row r="516" spans="1:87" x14ac:dyDescent="0.45">
      <c r="A516" t="s">
        <v>24</v>
      </c>
      <c r="B516" t="s">
        <v>4</v>
      </c>
      <c r="C516" t="s">
        <v>46</v>
      </c>
      <c r="D516" t="s">
        <v>202</v>
      </c>
      <c r="E516" t="s">
        <v>26</v>
      </c>
      <c r="F516">
        <v>0.40039999789158282</v>
      </c>
      <c r="K516">
        <v>0.26102999284535677</v>
      </c>
      <c r="P516">
        <v>3.34399033542069E-2</v>
      </c>
      <c r="U516">
        <v>0.2503599827728209</v>
      </c>
      <c r="Z516">
        <v>1.085527401301078E-8</v>
      </c>
      <c r="AE516">
        <v>0</v>
      </c>
      <c r="AJ516">
        <v>0</v>
      </c>
      <c r="CI516" t="s">
        <v>202</v>
      </c>
    </row>
    <row r="517" spans="1:87" x14ac:dyDescent="0.45">
      <c r="A517" t="s">
        <v>24</v>
      </c>
      <c r="B517" t="s">
        <v>4</v>
      </c>
      <c r="C517" t="s">
        <v>46</v>
      </c>
      <c r="D517" t="s">
        <v>203</v>
      </c>
      <c r="E517" t="s">
        <v>26</v>
      </c>
      <c r="F517">
        <v>3.0567000104013</v>
      </c>
      <c r="K517">
        <v>4.735999929710573</v>
      </c>
      <c r="P517">
        <v>5.3309005936375797</v>
      </c>
      <c r="U517">
        <v>3.6101999952129549</v>
      </c>
      <c r="Z517">
        <v>2.1017000276369799</v>
      </c>
      <c r="AE517">
        <v>1.186900025755236</v>
      </c>
      <c r="AJ517">
        <v>1.1817999999795941</v>
      </c>
      <c r="CI517" t="s">
        <v>203</v>
      </c>
    </row>
    <row r="518" spans="1:87" x14ac:dyDescent="0.45">
      <c r="A518" t="s">
        <v>24</v>
      </c>
      <c r="B518" t="s">
        <v>4</v>
      </c>
      <c r="C518" t="s">
        <v>46</v>
      </c>
      <c r="D518" t="s">
        <v>204</v>
      </c>
      <c r="E518" t="s">
        <v>26</v>
      </c>
      <c r="F518">
        <v>8.4795104271506716E-10</v>
      </c>
      <c r="K518">
        <v>0</v>
      </c>
      <c r="P518">
        <v>0</v>
      </c>
      <c r="U518">
        <v>0</v>
      </c>
      <c r="Z518">
        <v>0</v>
      </c>
      <c r="AE518">
        <v>0</v>
      </c>
      <c r="AJ518">
        <v>0</v>
      </c>
      <c r="CI518" t="s">
        <v>204</v>
      </c>
    </row>
    <row r="519" spans="1:87" x14ac:dyDescent="0.45">
      <c r="A519" t="s">
        <v>24</v>
      </c>
      <c r="B519" t="s">
        <v>4</v>
      </c>
      <c r="C519" t="s">
        <v>46</v>
      </c>
      <c r="D519" t="s">
        <v>205</v>
      </c>
      <c r="E519" t="s">
        <v>26</v>
      </c>
      <c r="F519">
        <v>25.45000002331043</v>
      </c>
      <c r="K519">
        <v>27.209899744378969</v>
      </c>
      <c r="P519">
        <v>24.00059775319642</v>
      </c>
      <c r="U519">
        <v>28.78270020742438</v>
      </c>
      <c r="Z519">
        <v>28.990600043191531</v>
      </c>
      <c r="AE519">
        <v>29.15730000815692</v>
      </c>
      <c r="AJ519">
        <v>29.343499999953281</v>
      </c>
      <c r="CI519" t="s">
        <v>205</v>
      </c>
    </row>
    <row r="520" spans="1:87" x14ac:dyDescent="0.45">
      <c r="A520" t="s">
        <v>24</v>
      </c>
      <c r="B520" t="s">
        <v>4</v>
      </c>
      <c r="C520" t="s">
        <v>46</v>
      </c>
      <c r="D520" t="s">
        <v>206</v>
      </c>
      <c r="E520" t="s">
        <v>26</v>
      </c>
      <c r="F520">
        <v>9.3199999244156104E-2</v>
      </c>
      <c r="K520">
        <v>8.2800000530725407E-2</v>
      </c>
      <c r="P520">
        <v>7.9800000828982004E-2</v>
      </c>
      <c r="U520">
        <v>7.3399997944749204E-2</v>
      </c>
      <c r="Z520">
        <v>0.2264000525601659</v>
      </c>
      <c r="AE520">
        <v>0.84420000423715535</v>
      </c>
      <c r="AJ520">
        <v>1.742399999818474</v>
      </c>
      <c r="CI520" t="s">
        <v>206</v>
      </c>
    </row>
    <row r="521" spans="1:87" x14ac:dyDescent="0.45">
      <c r="A521" t="s">
        <v>24</v>
      </c>
      <c r="B521" t="s">
        <v>4</v>
      </c>
      <c r="C521" t="s">
        <v>46</v>
      </c>
      <c r="D521" t="s">
        <v>207</v>
      </c>
      <c r="E521" t="s">
        <v>26</v>
      </c>
      <c r="F521">
        <v>7.7437789514078759E-9</v>
      </c>
      <c r="K521">
        <v>0</v>
      </c>
      <c r="P521">
        <v>0</v>
      </c>
      <c r="U521">
        <v>0</v>
      </c>
      <c r="Z521">
        <v>0</v>
      </c>
      <c r="AE521">
        <v>0</v>
      </c>
      <c r="AJ521">
        <v>0</v>
      </c>
      <c r="CI521" t="s">
        <v>207</v>
      </c>
    </row>
    <row r="522" spans="1:87" x14ac:dyDescent="0.45">
      <c r="A522" t="s">
        <v>24</v>
      </c>
      <c r="B522" t="s">
        <v>4</v>
      </c>
      <c r="C522" t="s">
        <v>46</v>
      </c>
      <c r="D522" t="s">
        <v>208</v>
      </c>
      <c r="E522" t="s">
        <v>26</v>
      </c>
      <c r="F522">
        <v>25.356800016322492</v>
      </c>
      <c r="K522">
        <v>27.127099743848252</v>
      </c>
      <c r="P522">
        <v>23.920797752367431</v>
      </c>
      <c r="U522">
        <v>28.70930020947964</v>
      </c>
      <c r="Z522">
        <v>28.764199990631369</v>
      </c>
      <c r="AE522">
        <v>28.313100003919772</v>
      </c>
      <c r="AJ522">
        <v>27.601100000134799</v>
      </c>
      <c r="CI522" t="s">
        <v>208</v>
      </c>
    </row>
    <row r="523" spans="1:87" x14ac:dyDescent="0.45">
      <c r="A523" t="s">
        <v>24</v>
      </c>
      <c r="B523" t="s">
        <v>2</v>
      </c>
      <c r="C523" t="s">
        <v>46</v>
      </c>
      <c r="D523" t="s">
        <v>59</v>
      </c>
      <c r="E523" t="s">
        <v>48</v>
      </c>
      <c r="F523">
        <v>0</v>
      </c>
      <c r="K523">
        <v>0</v>
      </c>
      <c r="P523">
        <v>0</v>
      </c>
      <c r="U523">
        <v>3.9457</v>
      </c>
      <c r="Z523">
        <v>9.7158999999999995</v>
      </c>
      <c r="AE523">
        <v>17.969100000000001</v>
      </c>
      <c r="AJ523">
        <v>19.974299999999999</v>
      </c>
      <c r="CI523" t="s">
        <v>59</v>
      </c>
    </row>
    <row r="524" spans="1:87" x14ac:dyDescent="0.45">
      <c r="A524" t="s">
        <v>24</v>
      </c>
      <c r="B524" t="s">
        <v>2</v>
      </c>
      <c r="C524" t="s">
        <v>46</v>
      </c>
      <c r="D524" t="s">
        <v>60</v>
      </c>
      <c r="E524" t="s">
        <v>48</v>
      </c>
      <c r="F524">
        <v>0</v>
      </c>
      <c r="K524">
        <v>0</v>
      </c>
      <c r="P524">
        <v>0</v>
      </c>
      <c r="U524">
        <v>8.7215000000000007</v>
      </c>
      <c r="Z524">
        <v>21.990300000000001</v>
      </c>
      <c r="AE524">
        <v>53.228700000000003</v>
      </c>
      <c r="AJ524">
        <v>86.491799999999998</v>
      </c>
      <c r="CI524" t="s">
        <v>60</v>
      </c>
    </row>
    <row r="525" spans="1:87" x14ac:dyDescent="0.45">
      <c r="A525" t="s">
        <v>24</v>
      </c>
      <c r="B525" t="s">
        <v>2</v>
      </c>
      <c r="C525" t="s">
        <v>46</v>
      </c>
      <c r="D525" t="s">
        <v>61</v>
      </c>
      <c r="E525" t="s">
        <v>48</v>
      </c>
      <c r="F525">
        <v>0</v>
      </c>
      <c r="K525">
        <v>0</v>
      </c>
      <c r="P525">
        <v>0</v>
      </c>
      <c r="U525">
        <v>0</v>
      </c>
      <c r="Z525">
        <v>0</v>
      </c>
      <c r="AE525">
        <v>0</v>
      </c>
      <c r="AJ525">
        <v>0</v>
      </c>
      <c r="CI525" t="s">
        <v>61</v>
      </c>
    </row>
    <row r="526" spans="1:87" x14ac:dyDescent="0.45">
      <c r="A526" t="s">
        <v>24</v>
      </c>
      <c r="B526" t="s">
        <v>2</v>
      </c>
      <c r="C526" t="s">
        <v>46</v>
      </c>
      <c r="D526" t="s">
        <v>62</v>
      </c>
      <c r="E526" t="s">
        <v>48</v>
      </c>
      <c r="F526">
        <v>163.95609999999999</v>
      </c>
      <c r="K526">
        <v>148.2824</v>
      </c>
      <c r="P526">
        <v>134.43559999999999</v>
      </c>
      <c r="U526">
        <v>120.2063</v>
      </c>
      <c r="Z526">
        <v>104.905</v>
      </c>
      <c r="AE526">
        <v>89.318299999999994</v>
      </c>
      <c r="AJ526">
        <v>74.0886</v>
      </c>
      <c r="CI526" t="s">
        <v>62</v>
      </c>
    </row>
    <row r="527" spans="1:87" x14ac:dyDescent="0.45">
      <c r="A527" t="s">
        <v>24</v>
      </c>
      <c r="B527" t="s">
        <v>2</v>
      </c>
      <c r="C527" t="s">
        <v>46</v>
      </c>
      <c r="D527" t="s">
        <v>63</v>
      </c>
      <c r="E527" t="s">
        <v>48</v>
      </c>
      <c r="F527">
        <v>-1429.8635999999999</v>
      </c>
      <c r="K527">
        <v>-1509.9725000000001</v>
      </c>
      <c r="P527">
        <v>-1682.7114999999999</v>
      </c>
      <c r="U527">
        <v>-1729.7856999999999</v>
      </c>
      <c r="Z527">
        <v>-1772.0028</v>
      </c>
      <c r="AE527">
        <v>-1791.904</v>
      </c>
      <c r="AJ527">
        <v>-1814.4549999999999</v>
      </c>
      <c r="CI527" t="s">
        <v>63</v>
      </c>
    </row>
    <row r="528" spans="1:87" x14ac:dyDescent="0.45">
      <c r="A528" t="s">
        <v>24</v>
      </c>
      <c r="B528" t="s">
        <v>2</v>
      </c>
      <c r="C528" t="s">
        <v>46</v>
      </c>
      <c r="D528" t="s">
        <v>64</v>
      </c>
      <c r="E528" t="s">
        <v>48</v>
      </c>
      <c r="F528">
        <v>-534.70759999999996</v>
      </c>
      <c r="K528">
        <v>-614.91369999999995</v>
      </c>
      <c r="P528">
        <v>-695.11980000000005</v>
      </c>
      <c r="U528">
        <v>-721.85519999999997</v>
      </c>
      <c r="Z528">
        <v>-748.59059999999999</v>
      </c>
      <c r="AE528">
        <v>-748.59059999999999</v>
      </c>
      <c r="AJ528">
        <v>-748.59059999999999</v>
      </c>
      <c r="CI528" t="s">
        <v>64</v>
      </c>
    </row>
    <row r="529" spans="1:87" x14ac:dyDescent="0.45">
      <c r="A529" t="s">
        <v>24</v>
      </c>
      <c r="B529" t="s">
        <v>2</v>
      </c>
      <c r="C529" t="s">
        <v>46</v>
      </c>
      <c r="D529" t="s">
        <v>65</v>
      </c>
      <c r="E529" t="s">
        <v>66</v>
      </c>
      <c r="F529">
        <v>4735.2263000000003</v>
      </c>
      <c r="K529">
        <v>3961.0608000000002</v>
      </c>
      <c r="P529">
        <v>3091.63</v>
      </c>
      <c r="U529">
        <v>2928.4748</v>
      </c>
      <c r="Z529">
        <v>2577.8353999999999</v>
      </c>
      <c r="AE529">
        <v>2174.1914000000002</v>
      </c>
      <c r="AJ529">
        <v>1946.3115</v>
      </c>
      <c r="CI529" t="s">
        <v>65</v>
      </c>
    </row>
    <row r="530" spans="1:87" x14ac:dyDescent="0.45">
      <c r="A530" t="s">
        <v>24</v>
      </c>
      <c r="B530" t="s">
        <v>2</v>
      </c>
      <c r="C530" t="s">
        <v>46</v>
      </c>
      <c r="D530" t="s">
        <v>67</v>
      </c>
      <c r="E530" t="s">
        <v>66</v>
      </c>
      <c r="F530">
        <v>1230.5565999999999</v>
      </c>
      <c r="K530">
        <v>966.24599999999998</v>
      </c>
      <c r="P530">
        <v>795.85919999999999</v>
      </c>
      <c r="U530">
        <v>820.73779999999999</v>
      </c>
      <c r="Z530">
        <v>797.05939999999998</v>
      </c>
      <c r="AE530">
        <v>710.85429999999997</v>
      </c>
      <c r="AJ530">
        <v>624.53830000000005</v>
      </c>
      <c r="CI530" t="s">
        <v>67</v>
      </c>
    </row>
    <row r="531" spans="1:87" x14ac:dyDescent="0.45">
      <c r="A531" t="s">
        <v>24</v>
      </c>
      <c r="B531" t="s">
        <v>2</v>
      </c>
      <c r="C531" t="s">
        <v>46</v>
      </c>
      <c r="D531" t="s">
        <v>68</v>
      </c>
      <c r="E531" t="s">
        <v>26</v>
      </c>
      <c r="F531">
        <v>64.546499999999995</v>
      </c>
      <c r="K531">
        <v>63.939500000000002</v>
      </c>
      <c r="P531">
        <v>62.656599999999997</v>
      </c>
      <c r="U531">
        <v>66.5364</v>
      </c>
      <c r="Z531">
        <v>63.194899999999997</v>
      </c>
      <c r="AE531">
        <v>59.545200000000001</v>
      </c>
      <c r="AJ531">
        <v>56.277900000000002</v>
      </c>
      <c r="CI531" t="s">
        <v>68</v>
      </c>
    </row>
    <row r="532" spans="1:87" x14ac:dyDescent="0.45">
      <c r="A532" t="s">
        <v>24</v>
      </c>
      <c r="B532" t="s">
        <v>2</v>
      </c>
      <c r="C532" t="s">
        <v>46</v>
      </c>
      <c r="D532" t="s">
        <v>69</v>
      </c>
      <c r="E532" t="s">
        <v>26</v>
      </c>
      <c r="F532">
        <v>13.884600000000001</v>
      </c>
      <c r="K532">
        <v>15.1471</v>
      </c>
      <c r="P532">
        <v>15.5932</v>
      </c>
      <c r="U532">
        <v>17.131900000000002</v>
      </c>
      <c r="Z532">
        <v>17.9269</v>
      </c>
      <c r="AE532">
        <v>19.605899999999998</v>
      </c>
      <c r="AJ532">
        <v>21.314599999999999</v>
      </c>
      <c r="CI532" t="s">
        <v>69</v>
      </c>
    </row>
    <row r="533" spans="1:87" x14ac:dyDescent="0.45">
      <c r="A533" t="s">
        <v>24</v>
      </c>
      <c r="B533" t="s">
        <v>2</v>
      </c>
      <c r="C533" t="s">
        <v>46</v>
      </c>
      <c r="D533" t="s">
        <v>70</v>
      </c>
      <c r="E533" t="s">
        <v>26</v>
      </c>
      <c r="F533">
        <v>12.750299999999999</v>
      </c>
      <c r="K533">
        <v>9.8138000000000005</v>
      </c>
      <c r="P533">
        <v>9.2550000000000008</v>
      </c>
      <c r="U533">
        <v>8.84</v>
      </c>
      <c r="Z533">
        <v>8.6789000000000005</v>
      </c>
      <c r="AE533">
        <v>8.2714999999999996</v>
      </c>
      <c r="AJ533">
        <v>7.9066000000000001</v>
      </c>
      <c r="CI533" t="s">
        <v>70</v>
      </c>
    </row>
    <row r="534" spans="1:87" x14ac:dyDescent="0.45">
      <c r="A534" t="s">
        <v>24</v>
      </c>
      <c r="B534" t="s">
        <v>2</v>
      </c>
      <c r="C534" t="s">
        <v>46</v>
      </c>
      <c r="D534" t="s">
        <v>71</v>
      </c>
      <c r="E534" t="s">
        <v>26</v>
      </c>
      <c r="F534">
        <v>0.36420000000000002</v>
      </c>
      <c r="K534">
        <v>0.39350000000000002</v>
      </c>
      <c r="P534">
        <v>0.38100000000000001</v>
      </c>
      <c r="U534">
        <v>0.51439999999999997</v>
      </c>
      <c r="Z534">
        <v>0.66679999999999995</v>
      </c>
      <c r="AE534">
        <v>0.75639999999999996</v>
      </c>
      <c r="AJ534">
        <v>0.74880000000000002</v>
      </c>
      <c r="CI534" t="s">
        <v>71</v>
      </c>
    </row>
    <row r="535" spans="1:87" x14ac:dyDescent="0.45">
      <c r="A535" t="s">
        <v>24</v>
      </c>
      <c r="B535" t="s">
        <v>2</v>
      </c>
      <c r="C535" t="s">
        <v>46</v>
      </c>
      <c r="D535" t="s">
        <v>72</v>
      </c>
      <c r="E535" t="s">
        <v>26</v>
      </c>
      <c r="F535">
        <v>0</v>
      </c>
      <c r="K535">
        <v>7.51E-2</v>
      </c>
      <c r="P535">
        <v>0.1109</v>
      </c>
      <c r="U535">
        <v>0.1096</v>
      </c>
      <c r="Z535">
        <v>0.1074</v>
      </c>
      <c r="AE535">
        <v>0.1046</v>
      </c>
      <c r="AJ535">
        <v>0.10150000000000001</v>
      </c>
      <c r="CI535" t="s">
        <v>72</v>
      </c>
    </row>
    <row r="536" spans="1:87" x14ac:dyDescent="0.45">
      <c r="A536" t="s">
        <v>24</v>
      </c>
      <c r="B536" t="s">
        <v>2</v>
      </c>
      <c r="C536" t="s">
        <v>46</v>
      </c>
      <c r="D536" t="s">
        <v>73</v>
      </c>
      <c r="E536" t="s">
        <v>26</v>
      </c>
      <c r="F536">
        <v>14.753</v>
      </c>
      <c r="K536">
        <v>13.7927</v>
      </c>
      <c r="P536">
        <v>15.362500000000001</v>
      </c>
      <c r="U536">
        <v>15.1691</v>
      </c>
      <c r="Z536">
        <v>14.2949</v>
      </c>
      <c r="AE536">
        <v>13.6226</v>
      </c>
      <c r="AJ536">
        <v>13.139900000000001</v>
      </c>
      <c r="CI536" t="s">
        <v>73</v>
      </c>
    </row>
    <row r="537" spans="1:87" x14ac:dyDescent="0.45">
      <c r="A537" t="s">
        <v>24</v>
      </c>
      <c r="B537" t="s">
        <v>2</v>
      </c>
      <c r="C537" t="s">
        <v>46</v>
      </c>
      <c r="D537" t="s">
        <v>74</v>
      </c>
      <c r="E537" t="s">
        <v>26</v>
      </c>
      <c r="F537">
        <v>6.3197000000000001</v>
      </c>
      <c r="K537">
        <v>4.3788999999999998</v>
      </c>
      <c r="P537">
        <v>4.4340000000000002</v>
      </c>
      <c r="U537">
        <v>4.0014000000000003</v>
      </c>
      <c r="Z537">
        <v>3.3321999999999998</v>
      </c>
      <c r="AE537">
        <v>3.0179</v>
      </c>
      <c r="AJ537">
        <v>2.7090000000000001</v>
      </c>
      <c r="CI537" t="s">
        <v>74</v>
      </c>
    </row>
    <row r="538" spans="1:87" x14ac:dyDescent="0.45">
      <c r="A538" t="s">
        <v>24</v>
      </c>
      <c r="B538" t="s">
        <v>2</v>
      </c>
      <c r="C538" t="s">
        <v>46</v>
      </c>
      <c r="D538" t="s">
        <v>75</v>
      </c>
      <c r="E538" t="s">
        <v>26</v>
      </c>
      <c r="F538">
        <v>0</v>
      </c>
      <c r="K538">
        <v>0.10199999999999999</v>
      </c>
      <c r="P538">
        <v>0.25319999999999998</v>
      </c>
      <c r="U538">
        <v>0.38150000000000001</v>
      </c>
      <c r="Z538">
        <v>0.66679999999999995</v>
      </c>
      <c r="AE538">
        <v>0.75639999999999996</v>
      </c>
      <c r="AJ538">
        <v>0.74880000000000002</v>
      </c>
      <c r="CI538" t="s">
        <v>75</v>
      </c>
    </row>
    <row r="539" spans="1:87" x14ac:dyDescent="0.45">
      <c r="A539" t="s">
        <v>24</v>
      </c>
      <c r="B539" t="s">
        <v>2</v>
      </c>
      <c r="C539" t="s">
        <v>46</v>
      </c>
      <c r="D539" t="s">
        <v>76</v>
      </c>
      <c r="E539" t="s">
        <v>26</v>
      </c>
      <c r="F539">
        <v>0</v>
      </c>
      <c r="K539">
        <v>7.51E-2</v>
      </c>
      <c r="P539">
        <v>0.1109</v>
      </c>
      <c r="U539">
        <v>0.1096</v>
      </c>
      <c r="Z539">
        <v>0.1074</v>
      </c>
      <c r="AE539">
        <v>0.1046</v>
      </c>
      <c r="AJ539">
        <v>0.10150000000000001</v>
      </c>
      <c r="CI539" t="s">
        <v>76</v>
      </c>
    </row>
    <row r="540" spans="1:87" x14ac:dyDescent="0.45">
      <c r="A540" t="s">
        <v>24</v>
      </c>
      <c r="B540" t="s">
        <v>2</v>
      </c>
      <c r="C540" t="s">
        <v>46</v>
      </c>
      <c r="D540" t="s">
        <v>77</v>
      </c>
      <c r="E540" t="s">
        <v>26</v>
      </c>
      <c r="F540">
        <v>4.8303000000000003</v>
      </c>
      <c r="K540">
        <v>5.1410999999999998</v>
      </c>
      <c r="P540">
        <v>6.2403000000000004</v>
      </c>
      <c r="U540">
        <v>6.8080999999999996</v>
      </c>
      <c r="Z540">
        <v>6.7888000000000002</v>
      </c>
      <c r="AE540">
        <v>6.0980999999999996</v>
      </c>
      <c r="AJ540">
        <v>5.7172999999999998</v>
      </c>
      <c r="CI540" t="s">
        <v>77</v>
      </c>
    </row>
    <row r="541" spans="1:87" x14ac:dyDescent="0.45">
      <c r="A541" t="s">
        <v>24</v>
      </c>
      <c r="B541" t="s">
        <v>2</v>
      </c>
      <c r="C541" t="s">
        <v>46</v>
      </c>
      <c r="D541" t="s">
        <v>78</v>
      </c>
      <c r="E541" t="s">
        <v>26</v>
      </c>
      <c r="F541">
        <v>0.4466</v>
      </c>
      <c r="K541">
        <v>0.50690000000000002</v>
      </c>
      <c r="P541">
        <v>0.79820000000000002</v>
      </c>
      <c r="U541">
        <v>0.82950000000000002</v>
      </c>
      <c r="Z541">
        <v>0.84860000000000002</v>
      </c>
      <c r="AE541">
        <v>0.77810000000000001</v>
      </c>
      <c r="AJ541">
        <v>0.64380000000000004</v>
      </c>
      <c r="CI541" t="s">
        <v>78</v>
      </c>
    </row>
    <row r="542" spans="1:87" x14ac:dyDescent="0.45">
      <c r="A542" t="s">
        <v>24</v>
      </c>
      <c r="B542" t="s">
        <v>2</v>
      </c>
      <c r="C542" t="s">
        <v>46</v>
      </c>
      <c r="D542" t="s">
        <v>79</v>
      </c>
      <c r="E542" t="s">
        <v>26</v>
      </c>
      <c r="F542">
        <v>4.3975</v>
      </c>
      <c r="K542">
        <v>4.6569000000000003</v>
      </c>
      <c r="P542">
        <v>5.4640000000000004</v>
      </c>
      <c r="U542">
        <v>6.0045000000000002</v>
      </c>
      <c r="Z542">
        <v>5.9656000000000002</v>
      </c>
      <c r="AE542">
        <v>5.3446999999999996</v>
      </c>
      <c r="AJ542">
        <v>5.0964</v>
      </c>
      <c r="CI542" t="s">
        <v>79</v>
      </c>
    </row>
    <row r="543" spans="1:87" x14ac:dyDescent="0.45">
      <c r="A543" t="s">
        <v>24</v>
      </c>
      <c r="B543" t="s">
        <v>2</v>
      </c>
      <c r="C543" t="s">
        <v>46</v>
      </c>
      <c r="D543" t="s">
        <v>80</v>
      </c>
      <c r="E543" t="s">
        <v>26</v>
      </c>
      <c r="F543">
        <v>0.99860000000000004</v>
      </c>
      <c r="K543">
        <v>1.3231999999999999</v>
      </c>
      <c r="P543">
        <v>1.5167999999999999</v>
      </c>
      <c r="U543">
        <v>1.7943</v>
      </c>
      <c r="Z543">
        <v>0.92859999999999998</v>
      </c>
      <c r="AE543">
        <v>0.89059999999999995</v>
      </c>
      <c r="AJ543">
        <v>0.84699999999999998</v>
      </c>
      <c r="CI543" t="s">
        <v>80</v>
      </c>
    </row>
    <row r="544" spans="1:87" x14ac:dyDescent="0.45">
      <c r="A544" t="s">
        <v>24</v>
      </c>
      <c r="B544" t="s">
        <v>2</v>
      </c>
      <c r="C544" t="s">
        <v>46</v>
      </c>
      <c r="D544" t="s">
        <v>81</v>
      </c>
      <c r="E544" t="s">
        <v>26</v>
      </c>
      <c r="F544">
        <v>0.22309999999999999</v>
      </c>
      <c r="K544">
        <v>0.48309999999999997</v>
      </c>
      <c r="P544">
        <v>0.50580000000000003</v>
      </c>
      <c r="U544">
        <v>0.84189999999999998</v>
      </c>
      <c r="Z544">
        <v>0.4214</v>
      </c>
      <c r="AE544">
        <v>0.41089999999999999</v>
      </c>
      <c r="AJ544">
        <v>0.39400000000000002</v>
      </c>
      <c r="CI544" t="s">
        <v>81</v>
      </c>
    </row>
    <row r="545" spans="1:87" x14ac:dyDescent="0.45">
      <c r="A545" t="s">
        <v>24</v>
      </c>
      <c r="B545" t="s">
        <v>2</v>
      </c>
      <c r="C545" t="s">
        <v>46</v>
      </c>
      <c r="D545" t="s">
        <v>82</v>
      </c>
      <c r="E545" t="s">
        <v>26</v>
      </c>
      <c r="F545">
        <v>0.78990000000000005</v>
      </c>
      <c r="K545">
        <v>0.85629999999999995</v>
      </c>
      <c r="P545">
        <v>1.0266999999999999</v>
      </c>
      <c r="U545">
        <v>0.96850000000000003</v>
      </c>
      <c r="Z545">
        <v>0.52170000000000005</v>
      </c>
      <c r="AE545">
        <v>0.49309999999999998</v>
      </c>
      <c r="AJ545">
        <v>0.46529999999999999</v>
      </c>
      <c r="CI545" t="s">
        <v>82</v>
      </c>
    </row>
    <row r="546" spans="1:87" x14ac:dyDescent="0.45">
      <c r="A546" t="s">
        <v>24</v>
      </c>
      <c r="B546" t="s">
        <v>2</v>
      </c>
      <c r="C546" t="s">
        <v>46</v>
      </c>
      <c r="D546" t="s">
        <v>83</v>
      </c>
      <c r="E546" t="s">
        <v>26</v>
      </c>
      <c r="F546">
        <v>33.203800000000001</v>
      </c>
      <c r="K546">
        <v>34.392600000000002</v>
      </c>
      <c r="P546">
        <v>32.343200000000003</v>
      </c>
      <c r="U546">
        <v>34.680900000000001</v>
      </c>
      <c r="Z546">
        <v>30.674900000000001</v>
      </c>
      <c r="AE546">
        <v>25.8246</v>
      </c>
      <c r="AJ546">
        <v>21.238299999999999</v>
      </c>
      <c r="CI546" t="s">
        <v>83</v>
      </c>
    </row>
    <row r="547" spans="1:87" x14ac:dyDescent="0.45">
      <c r="A547" t="s">
        <v>24</v>
      </c>
      <c r="B547" t="s">
        <v>2</v>
      </c>
      <c r="C547" t="s">
        <v>46</v>
      </c>
      <c r="D547" t="s">
        <v>84</v>
      </c>
      <c r="E547" t="s">
        <v>26</v>
      </c>
      <c r="F547">
        <v>22.1252</v>
      </c>
      <c r="K547">
        <v>22.8249</v>
      </c>
      <c r="P547">
        <v>23.637699999999999</v>
      </c>
      <c r="U547">
        <v>24.186299999999999</v>
      </c>
      <c r="Z547">
        <v>23.687200000000001</v>
      </c>
      <c r="AE547">
        <v>23.6236</v>
      </c>
      <c r="AJ547">
        <v>23.633700000000001</v>
      </c>
      <c r="CI547" t="s">
        <v>84</v>
      </c>
    </row>
    <row r="548" spans="1:87" x14ac:dyDescent="0.45">
      <c r="A548" t="s">
        <v>24</v>
      </c>
      <c r="B548" t="s">
        <v>2</v>
      </c>
      <c r="C548" t="s">
        <v>46</v>
      </c>
      <c r="D548" t="s">
        <v>85</v>
      </c>
      <c r="E548" t="s">
        <v>26</v>
      </c>
      <c r="F548">
        <v>6.4305000000000003</v>
      </c>
      <c r="K548">
        <v>5.4348000000000001</v>
      </c>
      <c r="P548">
        <v>4.8209999999999997</v>
      </c>
      <c r="U548">
        <v>4.8385999999999996</v>
      </c>
      <c r="Z548">
        <v>5.3465999999999996</v>
      </c>
      <c r="AE548">
        <v>5.2535999999999996</v>
      </c>
      <c r="AJ548">
        <v>5.1976000000000004</v>
      </c>
      <c r="CI548" t="s">
        <v>85</v>
      </c>
    </row>
    <row r="549" spans="1:87" x14ac:dyDescent="0.45">
      <c r="A549" t="s">
        <v>24</v>
      </c>
      <c r="B549" t="s">
        <v>2</v>
      </c>
      <c r="C549" t="s">
        <v>46</v>
      </c>
      <c r="D549" t="s">
        <v>86</v>
      </c>
      <c r="E549" t="s">
        <v>26</v>
      </c>
      <c r="F549">
        <v>0.36420000000000002</v>
      </c>
      <c r="K549">
        <v>0.29149999999999998</v>
      </c>
      <c r="P549">
        <v>0.12790000000000001</v>
      </c>
      <c r="U549">
        <v>0.13289999999999999</v>
      </c>
      <c r="Z549">
        <v>0</v>
      </c>
      <c r="AE549">
        <v>0</v>
      </c>
      <c r="AJ549">
        <v>0</v>
      </c>
      <c r="CI549" t="s">
        <v>86</v>
      </c>
    </row>
    <row r="550" spans="1:87" x14ac:dyDescent="0.45">
      <c r="A550" t="s">
        <v>24</v>
      </c>
      <c r="B550" t="s">
        <v>2</v>
      </c>
      <c r="C550" t="s">
        <v>46</v>
      </c>
      <c r="D550" t="s">
        <v>87</v>
      </c>
      <c r="E550" t="s">
        <v>26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87</v>
      </c>
    </row>
    <row r="551" spans="1:87" x14ac:dyDescent="0.45">
      <c r="A551" t="s">
        <v>24</v>
      </c>
      <c r="B551" t="s">
        <v>2</v>
      </c>
      <c r="C551" t="s">
        <v>46</v>
      </c>
      <c r="D551" t="s">
        <v>88</v>
      </c>
      <c r="E551" t="s">
        <v>26</v>
      </c>
      <c r="F551">
        <v>3.0756000000000001</v>
      </c>
      <c r="K551">
        <v>3.1052</v>
      </c>
      <c r="P551">
        <v>4.0045999999999999</v>
      </c>
      <c r="U551">
        <v>2.5646</v>
      </c>
      <c r="Z551">
        <v>1.2767999999999999</v>
      </c>
      <c r="AE551">
        <v>1.1262000000000001</v>
      </c>
      <c r="AJ551">
        <v>1.1105</v>
      </c>
      <c r="CI551" t="s">
        <v>88</v>
      </c>
    </row>
    <row r="552" spans="1:87" x14ac:dyDescent="0.45">
      <c r="A552" t="s">
        <v>24</v>
      </c>
      <c r="B552" t="s">
        <v>2</v>
      </c>
      <c r="C552" t="s">
        <v>46</v>
      </c>
      <c r="D552" t="s">
        <v>90</v>
      </c>
      <c r="E552" t="s">
        <v>26</v>
      </c>
      <c r="F552">
        <v>3.1492</v>
      </c>
      <c r="K552">
        <v>3.1503999999999999</v>
      </c>
      <c r="P552">
        <v>4.0072999999999999</v>
      </c>
      <c r="U552">
        <v>2.5533000000000001</v>
      </c>
      <c r="Z552">
        <v>1.2708999999999999</v>
      </c>
      <c r="AE552">
        <v>1.1112</v>
      </c>
      <c r="AJ552">
        <v>1.0907</v>
      </c>
      <c r="CI552" t="s">
        <v>90</v>
      </c>
    </row>
    <row r="553" spans="1:87" x14ac:dyDescent="0.45">
      <c r="A553" t="s">
        <v>24</v>
      </c>
      <c r="B553" t="s">
        <v>2</v>
      </c>
      <c r="C553" t="s">
        <v>46</v>
      </c>
      <c r="D553" t="s">
        <v>91</v>
      </c>
      <c r="E553" t="s">
        <v>26</v>
      </c>
      <c r="F553">
        <v>0</v>
      </c>
      <c r="K553">
        <v>0</v>
      </c>
      <c r="P553">
        <v>0</v>
      </c>
      <c r="U553">
        <v>0</v>
      </c>
      <c r="Z553">
        <v>0</v>
      </c>
      <c r="AE553">
        <v>0</v>
      </c>
      <c r="AJ553">
        <v>0</v>
      </c>
      <c r="CI553" t="s">
        <v>91</v>
      </c>
    </row>
    <row r="554" spans="1:87" x14ac:dyDescent="0.45">
      <c r="A554" t="s">
        <v>24</v>
      </c>
      <c r="B554" t="s">
        <v>2</v>
      </c>
      <c r="C554" t="s">
        <v>46</v>
      </c>
      <c r="D554" t="s">
        <v>92</v>
      </c>
      <c r="E554" t="s">
        <v>26</v>
      </c>
      <c r="F554">
        <v>0</v>
      </c>
      <c r="K554">
        <v>0</v>
      </c>
      <c r="P554">
        <v>0</v>
      </c>
      <c r="U554">
        <v>0</v>
      </c>
      <c r="Z554">
        <v>0</v>
      </c>
      <c r="AE554">
        <v>0</v>
      </c>
      <c r="AJ554">
        <v>0</v>
      </c>
      <c r="CI554" t="s">
        <v>92</v>
      </c>
    </row>
    <row r="555" spans="1:87" x14ac:dyDescent="0.45">
      <c r="A555" t="s">
        <v>24</v>
      </c>
      <c r="B555" t="s">
        <v>2</v>
      </c>
      <c r="C555" t="s">
        <v>46</v>
      </c>
      <c r="D555" t="s">
        <v>93</v>
      </c>
      <c r="E555" t="s">
        <v>26</v>
      </c>
      <c r="F555">
        <v>0</v>
      </c>
      <c r="K555">
        <v>0</v>
      </c>
      <c r="P555">
        <v>0</v>
      </c>
      <c r="U555">
        <v>0</v>
      </c>
      <c r="Z555">
        <v>0</v>
      </c>
      <c r="AE555">
        <v>0</v>
      </c>
      <c r="AJ555">
        <v>0</v>
      </c>
      <c r="CI555" t="s">
        <v>93</v>
      </c>
    </row>
    <row r="556" spans="1:87" x14ac:dyDescent="0.45">
      <c r="A556" t="s">
        <v>24</v>
      </c>
      <c r="B556" t="s">
        <v>2</v>
      </c>
      <c r="C556" t="s">
        <v>46</v>
      </c>
      <c r="D556" t="s">
        <v>94</v>
      </c>
      <c r="E556" t="s">
        <v>26</v>
      </c>
      <c r="F556">
        <v>0.99860000000000004</v>
      </c>
      <c r="K556">
        <v>1.3231999999999999</v>
      </c>
      <c r="P556">
        <v>1.5167999999999999</v>
      </c>
      <c r="U556">
        <v>1.7943</v>
      </c>
      <c r="Z556">
        <v>0.92859999999999998</v>
      </c>
      <c r="AE556">
        <v>0.89059999999999995</v>
      </c>
      <c r="AJ556">
        <v>0.84699999999999998</v>
      </c>
      <c r="CI556" t="s">
        <v>94</v>
      </c>
    </row>
    <row r="557" spans="1:87" x14ac:dyDescent="0.45">
      <c r="A557" t="s">
        <v>24</v>
      </c>
      <c r="B557" t="s">
        <v>2</v>
      </c>
      <c r="C557" t="s">
        <v>46</v>
      </c>
      <c r="D557" t="s">
        <v>95</v>
      </c>
      <c r="E557" t="s">
        <v>26</v>
      </c>
      <c r="F557">
        <v>25.235199999999999</v>
      </c>
      <c r="K557">
        <v>26.0091</v>
      </c>
      <c r="P557">
        <v>22.244700000000002</v>
      </c>
      <c r="U557">
        <v>25.841200000000001</v>
      </c>
      <c r="Z557">
        <v>23.943300000000001</v>
      </c>
      <c r="AE557">
        <v>21.345400000000001</v>
      </c>
      <c r="AJ557">
        <v>18.724499999999999</v>
      </c>
      <c r="CI557" t="s">
        <v>95</v>
      </c>
    </row>
    <row r="558" spans="1:87" x14ac:dyDescent="0.45">
      <c r="A558" t="s">
        <v>24</v>
      </c>
      <c r="B558" t="s">
        <v>2</v>
      </c>
      <c r="C558" t="s">
        <v>46</v>
      </c>
      <c r="D558" t="s">
        <v>96</v>
      </c>
      <c r="E558" t="s">
        <v>26</v>
      </c>
      <c r="F558">
        <v>0</v>
      </c>
      <c r="K558">
        <v>0</v>
      </c>
      <c r="P558">
        <v>0</v>
      </c>
      <c r="U558">
        <v>0</v>
      </c>
      <c r="Z558">
        <v>0</v>
      </c>
      <c r="AE558">
        <v>0</v>
      </c>
      <c r="AJ558">
        <v>0</v>
      </c>
      <c r="CI558" t="s">
        <v>96</v>
      </c>
    </row>
    <row r="559" spans="1:87" x14ac:dyDescent="0.45">
      <c r="A559" t="s">
        <v>24</v>
      </c>
      <c r="B559" t="s">
        <v>2</v>
      </c>
      <c r="C559" t="s">
        <v>46</v>
      </c>
      <c r="D559" t="s">
        <v>97</v>
      </c>
      <c r="E559" t="s">
        <v>26</v>
      </c>
      <c r="F559">
        <v>25.297799999999999</v>
      </c>
      <c r="K559">
        <v>26.1463</v>
      </c>
      <c r="P559">
        <v>22.098199999999999</v>
      </c>
      <c r="U559">
        <v>25.308199999999999</v>
      </c>
      <c r="Z559">
        <v>22.609200000000001</v>
      </c>
      <c r="AE559">
        <v>18.600300000000001</v>
      </c>
      <c r="AJ559">
        <v>14.410600000000001</v>
      </c>
      <c r="CI559" t="s">
        <v>97</v>
      </c>
    </row>
    <row r="560" spans="1:87" x14ac:dyDescent="0.45">
      <c r="A560" t="s">
        <v>24</v>
      </c>
      <c r="B560" t="s">
        <v>2</v>
      </c>
      <c r="C560" t="s">
        <v>46</v>
      </c>
      <c r="D560" t="s">
        <v>98</v>
      </c>
      <c r="E560" t="s">
        <v>26</v>
      </c>
      <c r="F560">
        <v>22.743400000000001</v>
      </c>
      <c r="K560">
        <v>23.528500000000001</v>
      </c>
      <c r="P560">
        <v>19.566299999999998</v>
      </c>
      <c r="U560">
        <v>22.492799999999999</v>
      </c>
      <c r="Z560">
        <v>20.2819</v>
      </c>
      <c r="AE560">
        <v>17.0352</v>
      </c>
      <c r="AJ560">
        <v>13.9041</v>
      </c>
      <c r="CI560" t="s">
        <v>98</v>
      </c>
    </row>
    <row r="561" spans="1:87" x14ac:dyDescent="0.45">
      <c r="A561" t="s">
        <v>24</v>
      </c>
      <c r="B561" t="s">
        <v>2</v>
      </c>
      <c r="C561" t="s">
        <v>46</v>
      </c>
      <c r="D561" t="s">
        <v>99</v>
      </c>
      <c r="E561" t="s">
        <v>100</v>
      </c>
      <c r="F561">
        <v>17759.189699999999</v>
      </c>
      <c r="K561">
        <v>20999.454300000001</v>
      </c>
      <c r="P561">
        <v>22956.699700000001</v>
      </c>
      <c r="U561">
        <v>24703.453399999999</v>
      </c>
      <c r="Z561">
        <v>26332.519700000001</v>
      </c>
      <c r="AE561">
        <v>27872.9954</v>
      </c>
      <c r="AJ561">
        <v>29304.766899999999</v>
      </c>
      <c r="CI561" t="s">
        <v>99</v>
      </c>
    </row>
    <row r="562" spans="1:87" x14ac:dyDescent="0.45">
      <c r="A562" t="s">
        <v>24</v>
      </c>
      <c r="B562" t="s">
        <v>2</v>
      </c>
      <c r="C562" t="s">
        <v>46</v>
      </c>
      <c r="D562" t="s">
        <v>101</v>
      </c>
      <c r="E562" t="s">
        <v>102</v>
      </c>
      <c r="F562">
        <v>335.11259999999999</v>
      </c>
      <c r="K562">
        <v>347.33879999999999</v>
      </c>
      <c r="P562">
        <v>360.10340000000002</v>
      </c>
      <c r="U562">
        <v>371.43430000000001</v>
      </c>
      <c r="Z562">
        <v>382.77010000000001</v>
      </c>
      <c r="AE562">
        <v>392.61290000000002</v>
      </c>
      <c r="AJ562">
        <v>402.44220000000001</v>
      </c>
      <c r="CI562" t="s">
        <v>101</v>
      </c>
    </row>
    <row r="563" spans="1:87" x14ac:dyDescent="0.45">
      <c r="A563" t="s">
        <v>24</v>
      </c>
      <c r="B563" t="s">
        <v>2</v>
      </c>
      <c r="C563" t="s">
        <v>46</v>
      </c>
      <c r="D563" t="s">
        <v>103</v>
      </c>
      <c r="E563" t="s">
        <v>104</v>
      </c>
      <c r="F563">
        <v>0.99990000000000001</v>
      </c>
      <c r="K563">
        <v>0.93110000000000004</v>
      </c>
      <c r="P563">
        <v>0.86150000000000004</v>
      </c>
      <c r="U563">
        <v>0.86719999999999997</v>
      </c>
      <c r="Z563">
        <v>0.87009999999999998</v>
      </c>
      <c r="AE563">
        <v>0.87539999999999996</v>
      </c>
      <c r="AJ563">
        <v>0.88139999999999996</v>
      </c>
      <c r="CI563" t="s">
        <v>103</v>
      </c>
    </row>
    <row r="564" spans="1:87" x14ac:dyDescent="0.45">
      <c r="A564" t="s">
        <v>24</v>
      </c>
      <c r="B564" t="s">
        <v>2</v>
      </c>
      <c r="C564" t="s">
        <v>46</v>
      </c>
      <c r="D564" t="s">
        <v>105</v>
      </c>
      <c r="E564" t="s">
        <v>104</v>
      </c>
      <c r="F564">
        <v>1.0125</v>
      </c>
      <c r="K564">
        <v>0.9415</v>
      </c>
      <c r="P564">
        <v>0.86980000000000002</v>
      </c>
      <c r="U564">
        <v>0.8377</v>
      </c>
      <c r="Z564">
        <v>0.80279999999999996</v>
      </c>
      <c r="AE564">
        <v>0.79690000000000005</v>
      </c>
      <c r="AJ564">
        <v>0.7913</v>
      </c>
      <c r="CI564" t="s">
        <v>105</v>
      </c>
    </row>
    <row r="565" spans="1:87" x14ac:dyDescent="0.45">
      <c r="A565" t="s">
        <v>24</v>
      </c>
      <c r="B565" t="s">
        <v>2</v>
      </c>
      <c r="C565" t="s">
        <v>46</v>
      </c>
      <c r="D565" t="s">
        <v>106</v>
      </c>
      <c r="E565" t="s">
        <v>107</v>
      </c>
      <c r="F565">
        <v>0</v>
      </c>
      <c r="K565">
        <v>40.619599999999998</v>
      </c>
      <c r="P565">
        <v>49.980499999999999</v>
      </c>
      <c r="U565">
        <v>54.386200000000002</v>
      </c>
      <c r="Z565">
        <v>58.791899999999998</v>
      </c>
      <c r="AE565">
        <v>63.197600000000001</v>
      </c>
      <c r="AJ565">
        <v>67.603300000000004</v>
      </c>
      <c r="CI565" t="s">
        <v>106</v>
      </c>
    </row>
    <row r="566" spans="1:87" x14ac:dyDescent="0.45">
      <c r="A566" t="s">
        <v>24</v>
      </c>
      <c r="B566" t="s">
        <v>2</v>
      </c>
      <c r="C566" t="s">
        <v>46</v>
      </c>
      <c r="D566" t="s">
        <v>108</v>
      </c>
      <c r="E566" t="s">
        <v>31</v>
      </c>
      <c r="F566">
        <v>6.4366000000000003</v>
      </c>
      <c r="K566">
        <v>12.141299999999999</v>
      </c>
      <c r="P566">
        <v>13.1364</v>
      </c>
      <c r="U566">
        <v>12.7187</v>
      </c>
      <c r="Z566">
        <v>12.932399999999999</v>
      </c>
      <c r="AE566">
        <v>14.213800000000001</v>
      </c>
      <c r="AJ566">
        <v>14.538500000000001</v>
      </c>
      <c r="CI566" t="s">
        <v>108</v>
      </c>
    </row>
    <row r="567" spans="1:87" x14ac:dyDescent="0.45">
      <c r="A567" t="s">
        <v>24</v>
      </c>
      <c r="B567" t="s">
        <v>2</v>
      </c>
      <c r="C567" t="s">
        <v>46</v>
      </c>
      <c r="D567" t="s">
        <v>109</v>
      </c>
      <c r="E567" t="s">
        <v>31</v>
      </c>
      <c r="F567">
        <v>13.0496</v>
      </c>
      <c r="K567">
        <v>10.955399999999999</v>
      </c>
      <c r="P567">
        <v>11.049300000000001</v>
      </c>
      <c r="U567">
        <v>12.464700000000001</v>
      </c>
      <c r="Z567">
        <v>11.7027</v>
      </c>
      <c r="AE567">
        <v>12.252599999999999</v>
      </c>
      <c r="AJ567">
        <v>12.7629</v>
      </c>
      <c r="CI567" t="s">
        <v>109</v>
      </c>
    </row>
    <row r="568" spans="1:87" x14ac:dyDescent="0.45">
      <c r="A568" t="s">
        <v>24</v>
      </c>
      <c r="B568" t="s">
        <v>2</v>
      </c>
      <c r="C568" t="s">
        <v>46</v>
      </c>
      <c r="D568" t="s">
        <v>110</v>
      </c>
      <c r="E568" t="s">
        <v>31</v>
      </c>
      <c r="F568">
        <v>0</v>
      </c>
      <c r="K568">
        <v>0</v>
      </c>
      <c r="P568">
        <v>0</v>
      </c>
      <c r="U568">
        <v>0</v>
      </c>
      <c r="Z568">
        <v>0</v>
      </c>
      <c r="AE568">
        <v>0</v>
      </c>
      <c r="AJ568">
        <v>0</v>
      </c>
      <c r="CI568" t="s">
        <v>110</v>
      </c>
    </row>
    <row r="569" spans="1:87" x14ac:dyDescent="0.45">
      <c r="A569" t="s">
        <v>24</v>
      </c>
      <c r="B569" t="s">
        <v>2</v>
      </c>
      <c r="C569" t="s">
        <v>46</v>
      </c>
      <c r="D569" t="s">
        <v>111</v>
      </c>
      <c r="E569" t="s">
        <v>31</v>
      </c>
      <c r="F569">
        <v>49.3825</v>
      </c>
      <c r="K569">
        <v>7.7740999999999998</v>
      </c>
      <c r="P569">
        <v>29.362400000000001</v>
      </c>
      <c r="U569">
        <v>20.2743</v>
      </c>
      <c r="Z569">
        <v>19.9621</v>
      </c>
      <c r="AE569">
        <v>35.8613</v>
      </c>
      <c r="AJ569">
        <v>20.607600000000001</v>
      </c>
      <c r="CI569" t="s">
        <v>111</v>
      </c>
    </row>
    <row r="570" spans="1:87" x14ac:dyDescent="0.45">
      <c r="A570" t="s">
        <v>24</v>
      </c>
      <c r="B570" t="s">
        <v>2</v>
      </c>
      <c r="C570" t="s">
        <v>46</v>
      </c>
      <c r="D570" t="s">
        <v>112</v>
      </c>
      <c r="E570" t="s">
        <v>26</v>
      </c>
      <c r="F570">
        <v>81.477800000000002</v>
      </c>
      <c r="K570">
        <v>78.229600000000005</v>
      </c>
      <c r="P570">
        <v>74.0899</v>
      </c>
      <c r="U570">
        <v>76.976799999999997</v>
      </c>
      <c r="Z570">
        <v>74.5321</v>
      </c>
      <c r="AE570">
        <v>71.882400000000004</v>
      </c>
      <c r="AJ570">
        <v>70.036799999999999</v>
      </c>
      <c r="CI570" t="s">
        <v>112</v>
      </c>
    </row>
    <row r="571" spans="1:87" x14ac:dyDescent="0.45">
      <c r="A571" t="s">
        <v>24</v>
      </c>
      <c r="B571" t="s">
        <v>2</v>
      </c>
      <c r="C571" t="s">
        <v>46</v>
      </c>
      <c r="D571" t="s">
        <v>113</v>
      </c>
      <c r="E571" t="s">
        <v>26</v>
      </c>
      <c r="F571">
        <v>6.8007</v>
      </c>
      <c r="K571">
        <v>6.7618</v>
      </c>
      <c r="P571">
        <v>8.1294000000000004</v>
      </c>
      <c r="U571">
        <v>7.5179</v>
      </c>
      <c r="Z571">
        <v>7.1066000000000003</v>
      </c>
      <c r="AE571">
        <v>6.2544000000000004</v>
      </c>
      <c r="AJ571">
        <v>5.2340999999999998</v>
      </c>
      <c r="CI571" t="s">
        <v>113</v>
      </c>
    </row>
    <row r="572" spans="1:87" x14ac:dyDescent="0.45">
      <c r="A572" t="s">
        <v>24</v>
      </c>
      <c r="B572" t="s">
        <v>2</v>
      </c>
      <c r="C572" t="s">
        <v>46</v>
      </c>
      <c r="D572" t="s">
        <v>114</v>
      </c>
      <c r="E572" t="s">
        <v>26</v>
      </c>
      <c r="F572">
        <v>13.4893</v>
      </c>
      <c r="K572">
        <v>7.0083000000000002</v>
      </c>
      <c r="P572">
        <v>4.7229000000000001</v>
      </c>
      <c r="U572">
        <v>2.089</v>
      </c>
      <c r="Z572">
        <v>1.3540000000000001</v>
      </c>
      <c r="AE572">
        <v>0.99109999999999998</v>
      </c>
      <c r="AJ572">
        <v>0.72260000000000002</v>
      </c>
      <c r="CI572" t="s">
        <v>114</v>
      </c>
    </row>
    <row r="573" spans="1:87" x14ac:dyDescent="0.45">
      <c r="A573" t="s">
        <v>24</v>
      </c>
      <c r="B573" t="s">
        <v>2</v>
      </c>
      <c r="C573" t="s">
        <v>46</v>
      </c>
      <c r="D573" t="s">
        <v>115</v>
      </c>
      <c r="E573" t="s">
        <v>26</v>
      </c>
      <c r="F573">
        <v>0</v>
      </c>
      <c r="K573">
        <v>0</v>
      </c>
      <c r="P573">
        <v>0</v>
      </c>
      <c r="U573">
        <v>0</v>
      </c>
      <c r="Z573">
        <v>6.7000000000000002E-3</v>
      </c>
      <c r="AE573">
        <v>0.15409999999999999</v>
      </c>
      <c r="AJ573">
        <v>0.22869999999999999</v>
      </c>
      <c r="CI573" t="s">
        <v>115</v>
      </c>
    </row>
    <row r="574" spans="1:87" x14ac:dyDescent="0.45">
      <c r="A574" t="s">
        <v>24</v>
      </c>
      <c r="B574" t="s">
        <v>2</v>
      </c>
      <c r="C574" t="s">
        <v>46</v>
      </c>
      <c r="D574" t="s">
        <v>116</v>
      </c>
      <c r="E574" t="s">
        <v>26</v>
      </c>
      <c r="F574">
        <v>13.4893</v>
      </c>
      <c r="K574">
        <v>7.0083000000000002</v>
      </c>
      <c r="P574">
        <v>4.7229000000000001</v>
      </c>
      <c r="U574">
        <v>2.089</v>
      </c>
      <c r="Z574">
        <v>1.3472999999999999</v>
      </c>
      <c r="AE574">
        <v>0.83689999999999998</v>
      </c>
      <c r="AJ574">
        <v>0.49390000000000001</v>
      </c>
      <c r="CI574" t="s">
        <v>116</v>
      </c>
    </row>
    <row r="575" spans="1:87" x14ac:dyDescent="0.45">
      <c r="A575" t="s">
        <v>24</v>
      </c>
      <c r="B575" t="s">
        <v>2</v>
      </c>
      <c r="C575" t="s">
        <v>46</v>
      </c>
      <c r="D575" t="s">
        <v>117</v>
      </c>
      <c r="E575" t="s">
        <v>26</v>
      </c>
      <c r="F575">
        <v>68.071200000000005</v>
      </c>
      <c r="K575">
        <v>62.513199999999998</v>
      </c>
      <c r="P575">
        <v>55.667900000000003</v>
      </c>
      <c r="U575">
        <v>57.258200000000002</v>
      </c>
      <c r="Z575">
        <v>54.115299999999998</v>
      </c>
      <c r="AE575">
        <v>51.866700000000002</v>
      </c>
      <c r="AJ575">
        <v>50.489199999999997</v>
      </c>
      <c r="CI575" t="s">
        <v>117</v>
      </c>
    </row>
    <row r="576" spans="1:87" x14ac:dyDescent="0.45">
      <c r="A576" t="s">
        <v>24</v>
      </c>
      <c r="B576" t="s">
        <v>2</v>
      </c>
      <c r="C576" t="s">
        <v>46</v>
      </c>
      <c r="D576" t="s">
        <v>118</v>
      </c>
      <c r="E576" t="s">
        <v>26</v>
      </c>
      <c r="F576">
        <v>0</v>
      </c>
      <c r="K576">
        <v>0</v>
      </c>
      <c r="P576">
        <v>0</v>
      </c>
      <c r="U576">
        <v>0.1479</v>
      </c>
      <c r="Z576">
        <v>0.36969999999999997</v>
      </c>
      <c r="AE576">
        <v>0.82969999999999999</v>
      </c>
      <c r="AJ576">
        <v>1.3601000000000001</v>
      </c>
      <c r="CI576" t="s">
        <v>118</v>
      </c>
    </row>
    <row r="577" spans="1:87" x14ac:dyDescent="0.45">
      <c r="A577" t="s">
        <v>24</v>
      </c>
      <c r="B577" t="s">
        <v>2</v>
      </c>
      <c r="C577" t="s">
        <v>46</v>
      </c>
      <c r="D577" t="s">
        <v>119</v>
      </c>
      <c r="E577" t="s">
        <v>26</v>
      </c>
      <c r="F577">
        <v>68.071200000000005</v>
      </c>
      <c r="K577">
        <v>62.513199999999998</v>
      </c>
      <c r="P577">
        <v>55.667900000000003</v>
      </c>
      <c r="U577">
        <v>57.106999999999999</v>
      </c>
      <c r="Z577">
        <v>53.740200000000002</v>
      </c>
      <c r="AE577">
        <v>51.031199999999998</v>
      </c>
      <c r="AJ577">
        <v>49.129199999999997</v>
      </c>
      <c r="CI577" t="s">
        <v>119</v>
      </c>
    </row>
    <row r="578" spans="1:87" x14ac:dyDescent="0.45">
      <c r="A578" t="s">
        <v>24</v>
      </c>
      <c r="B578" t="s">
        <v>2</v>
      </c>
      <c r="C578" t="s">
        <v>46</v>
      </c>
      <c r="D578" t="s">
        <v>120</v>
      </c>
      <c r="E578" t="s">
        <v>26</v>
      </c>
      <c r="F578">
        <v>23.3705</v>
      </c>
      <c r="K578">
        <v>22.732600000000001</v>
      </c>
      <c r="P578">
        <v>22.699300000000001</v>
      </c>
      <c r="U578">
        <v>25.571999999999999</v>
      </c>
      <c r="Z578">
        <v>26.66</v>
      </c>
      <c r="AE578">
        <v>28.555299999999999</v>
      </c>
      <c r="AJ578">
        <v>31.189399999999999</v>
      </c>
      <c r="CI578" t="s">
        <v>120</v>
      </c>
    </row>
    <row r="579" spans="1:87" x14ac:dyDescent="0.45">
      <c r="A579" t="s">
        <v>24</v>
      </c>
      <c r="B579" t="s">
        <v>2</v>
      </c>
      <c r="C579" t="s">
        <v>46</v>
      </c>
      <c r="D579" t="s">
        <v>121</v>
      </c>
      <c r="E579" t="s">
        <v>26</v>
      </c>
      <c r="F579">
        <v>0</v>
      </c>
      <c r="K579">
        <v>0</v>
      </c>
      <c r="P579">
        <v>0</v>
      </c>
      <c r="U579">
        <v>0.1479</v>
      </c>
      <c r="Z579">
        <v>0.36299999999999999</v>
      </c>
      <c r="AE579">
        <v>0.67549999999999999</v>
      </c>
      <c r="AJ579">
        <v>1.1314</v>
      </c>
      <c r="CI579" t="s">
        <v>121</v>
      </c>
    </row>
    <row r="580" spans="1:87" x14ac:dyDescent="0.45">
      <c r="A580" t="s">
        <v>24</v>
      </c>
      <c r="B580" t="s">
        <v>2</v>
      </c>
      <c r="C580" t="s">
        <v>46</v>
      </c>
      <c r="D580" t="s">
        <v>122</v>
      </c>
      <c r="E580" t="s">
        <v>26</v>
      </c>
      <c r="F580">
        <v>23.3705</v>
      </c>
      <c r="K580">
        <v>22.732600000000001</v>
      </c>
      <c r="P580">
        <v>22.699300000000001</v>
      </c>
      <c r="U580">
        <v>25.424099999999999</v>
      </c>
      <c r="Z580">
        <v>26.296900000000001</v>
      </c>
      <c r="AE580">
        <v>27.8797</v>
      </c>
      <c r="AJ580">
        <v>30.058</v>
      </c>
      <c r="CI580" t="s">
        <v>122</v>
      </c>
    </row>
    <row r="581" spans="1:87" x14ac:dyDescent="0.45">
      <c r="A581" t="s">
        <v>24</v>
      </c>
      <c r="B581" t="s">
        <v>2</v>
      </c>
      <c r="C581" t="s">
        <v>46</v>
      </c>
      <c r="D581" t="s">
        <v>123</v>
      </c>
      <c r="E581" t="s">
        <v>26</v>
      </c>
      <c r="F581">
        <v>8.9599999999999999E-2</v>
      </c>
      <c r="K581">
        <v>0.1051</v>
      </c>
      <c r="P581">
        <v>8.2699999999999996E-2</v>
      </c>
      <c r="U581">
        <v>0.16439999999999999</v>
      </c>
      <c r="Z581">
        <v>0.25869999999999999</v>
      </c>
      <c r="AE581">
        <v>0.36930000000000002</v>
      </c>
      <c r="AJ581">
        <v>0.49559999999999998</v>
      </c>
      <c r="CI581" t="s">
        <v>123</v>
      </c>
    </row>
    <row r="582" spans="1:87" x14ac:dyDescent="0.45">
      <c r="A582" t="s">
        <v>24</v>
      </c>
      <c r="B582" t="s">
        <v>2</v>
      </c>
      <c r="C582" t="s">
        <v>46</v>
      </c>
      <c r="D582" t="s">
        <v>124</v>
      </c>
      <c r="E582" t="s">
        <v>26</v>
      </c>
      <c r="F582">
        <v>1.1474</v>
      </c>
      <c r="K582">
        <v>1.1391</v>
      </c>
      <c r="P582">
        <v>1.1309</v>
      </c>
      <c r="U582">
        <v>1.5259</v>
      </c>
      <c r="Z582">
        <v>1.5658000000000001</v>
      </c>
      <c r="AE582">
        <v>1.5964</v>
      </c>
      <c r="AJ582">
        <v>1.6257999999999999</v>
      </c>
      <c r="CI582" t="s">
        <v>124</v>
      </c>
    </row>
    <row r="583" spans="1:87" x14ac:dyDescent="0.45">
      <c r="A583" t="s">
        <v>24</v>
      </c>
      <c r="B583" t="s">
        <v>2</v>
      </c>
      <c r="C583" t="s">
        <v>46</v>
      </c>
      <c r="D583" t="s">
        <v>125</v>
      </c>
      <c r="E583" t="s">
        <v>26</v>
      </c>
      <c r="F583">
        <v>3.0293999999999999</v>
      </c>
      <c r="K583">
        <v>3.0849000000000002</v>
      </c>
      <c r="P583">
        <v>2.9941</v>
      </c>
      <c r="U583">
        <v>2.2109000000000001</v>
      </c>
      <c r="Z583">
        <v>1.7556</v>
      </c>
      <c r="AE583">
        <v>1.0123</v>
      </c>
      <c r="AJ583">
        <v>8.9499999999999996E-2</v>
      </c>
      <c r="CI583" t="s">
        <v>125</v>
      </c>
    </row>
    <row r="584" spans="1:87" x14ac:dyDescent="0.45">
      <c r="A584" t="s">
        <v>24</v>
      </c>
      <c r="B584" t="s">
        <v>2</v>
      </c>
      <c r="C584" t="s">
        <v>46</v>
      </c>
      <c r="D584" t="s">
        <v>126</v>
      </c>
      <c r="E584" t="s">
        <v>26</v>
      </c>
      <c r="F584">
        <v>31.211400000000001</v>
      </c>
      <c r="K584">
        <v>32.772300000000001</v>
      </c>
      <c r="P584">
        <v>28.245799999999999</v>
      </c>
      <c r="U584">
        <v>29.593900000000001</v>
      </c>
      <c r="Z584">
        <v>26.0959</v>
      </c>
      <c r="AE584">
        <v>22.314499999999999</v>
      </c>
      <c r="AJ584">
        <v>18.577200000000001</v>
      </c>
      <c r="CI584" t="s">
        <v>126</v>
      </c>
    </row>
    <row r="585" spans="1:87" x14ac:dyDescent="0.45">
      <c r="A585" t="s">
        <v>24</v>
      </c>
      <c r="B585" t="s">
        <v>2</v>
      </c>
      <c r="C585" t="s">
        <v>46</v>
      </c>
      <c r="D585" t="s">
        <v>127</v>
      </c>
      <c r="E585" t="s">
        <v>26</v>
      </c>
      <c r="F585">
        <v>31.211400000000001</v>
      </c>
      <c r="K585">
        <v>32.772300000000001</v>
      </c>
      <c r="P585">
        <v>28.245799999999999</v>
      </c>
      <c r="U585">
        <v>29.593900000000001</v>
      </c>
      <c r="Z585">
        <v>26.0959</v>
      </c>
      <c r="AE585">
        <v>22.314499999999999</v>
      </c>
      <c r="AJ585">
        <v>18.577200000000001</v>
      </c>
      <c r="CI585" t="s">
        <v>127</v>
      </c>
    </row>
    <row r="586" spans="1:87" x14ac:dyDescent="0.45">
      <c r="A586" t="s">
        <v>24</v>
      </c>
      <c r="B586" t="s">
        <v>2</v>
      </c>
      <c r="C586" t="s">
        <v>46</v>
      </c>
      <c r="D586" t="s">
        <v>128</v>
      </c>
      <c r="E586" t="s">
        <v>26</v>
      </c>
      <c r="F586">
        <v>0.92730000000000001</v>
      </c>
      <c r="K586">
        <v>1.4856</v>
      </c>
      <c r="P586">
        <v>2.9485000000000001</v>
      </c>
      <c r="U586">
        <v>5.0564999999999998</v>
      </c>
      <c r="Z586">
        <v>6.4954999999999998</v>
      </c>
      <c r="AE586">
        <v>7.1140999999999996</v>
      </c>
      <c r="AJ586">
        <v>8.5018999999999991</v>
      </c>
      <c r="CI586" t="s">
        <v>128</v>
      </c>
    </row>
    <row r="587" spans="1:87" x14ac:dyDescent="0.45">
      <c r="A587" t="s">
        <v>24</v>
      </c>
      <c r="B587" t="s">
        <v>2</v>
      </c>
      <c r="C587" t="s">
        <v>46</v>
      </c>
      <c r="D587" t="s">
        <v>129</v>
      </c>
      <c r="E587" t="s">
        <v>26</v>
      </c>
      <c r="F587">
        <v>1.4123000000000001</v>
      </c>
      <c r="K587">
        <v>3.14</v>
      </c>
      <c r="P587">
        <v>3.1364000000000001</v>
      </c>
      <c r="U587">
        <v>3.2463000000000002</v>
      </c>
      <c r="Z587">
        <v>3.2401</v>
      </c>
      <c r="AE587">
        <v>3.6749999999999998</v>
      </c>
      <c r="AJ587">
        <v>3.6008</v>
      </c>
      <c r="CI587" t="s">
        <v>129</v>
      </c>
    </row>
    <row r="588" spans="1:87" x14ac:dyDescent="0.45">
      <c r="A588" t="s">
        <v>24</v>
      </c>
      <c r="B588" t="s">
        <v>2</v>
      </c>
      <c r="C588" t="s">
        <v>46</v>
      </c>
      <c r="D588" t="s">
        <v>130</v>
      </c>
      <c r="E588" t="s">
        <v>100</v>
      </c>
      <c r="F588">
        <v>0</v>
      </c>
      <c r="K588">
        <v>179.7818</v>
      </c>
      <c r="P588">
        <v>194.43469999999999</v>
      </c>
      <c r="U588">
        <v>201.2568</v>
      </c>
      <c r="Z588">
        <v>199.50299999999999</v>
      </c>
      <c r="AE588">
        <v>195.59549999999999</v>
      </c>
      <c r="AJ588">
        <v>200.751</v>
      </c>
      <c r="CI588" t="s">
        <v>130</v>
      </c>
    </row>
    <row r="589" spans="1:87" x14ac:dyDescent="0.45">
      <c r="A589" t="s">
        <v>24</v>
      </c>
      <c r="B589" t="s">
        <v>2</v>
      </c>
      <c r="C589" t="s">
        <v>46</v>
      </c>
      <c r="D589" t="s">
        <v>131</v>
      </c>
      <c r="E589" t="s">
        <v>100</v>
      </c>
      <c r="F589">
        <v>0</v>
      </c>
      <c r="K589">
        <v>15.7003</v>
      </c>
      <c r="P589">
        <v>21.135899999999999</v>
      </c>
      <c r="U589">
        <v>21.769500000000001</v>
      </c>
      <c r="Z589">
        <v>20.011099999999999</v>
      </c>
      <c r="AE589">
        <v>20.262</v>
      </c>
      <c r="AJ589">
        <v>20.756599999999999</v>
      </c>
      <c r="CI589" t="s">
        <v>131</v>
      </c>
    </row>
    <row r="590" spans="1:87" x14ac:dyDescent="0.45">
      <c r="A590" t="s">
        <v>24</v>
      </c>
      <c r="B590" t="s">
        <v>2</v>
      </c>
      <c r="C590" t="s">
        <v>46</v>
      </c>
      <c r="D590" t="s">
        <v>132</v>
      </c>
      <c r="E590" t="s">
        <v>100</v>
      </c>
      <c r="F590">
        <v>0</v>
      </c>
      <c r="K590">
        <v>21.987500000000001</v>
      </c>
      <c r="P590">
        <v>28.7789</v>
      </c>
      <c r="U590">
        <v>25.308399999999999</v>
      </c>
      <c r="Z590">
        <v>23.1464</v>
      </c>
      <c r="AE590">
        <v>23.847200000000001</v>
      </c>
      <c r="AJ590">
        <v>25.150099999999998</v>
      </c>
      <c r="CI590" t="s">
        <v>132</v>
      </c>
    </row>
    <row r="591" spans="1:87" x14ac:dyDescent="0.45">
      <c r="A591" t="s">
        <v>24</v>
      </c>
      <c r="B591" t="s">
        <v>2</v>
      </c>
      <c r="C591" t="s">
        <v>46</v>
      </c>
      <c r="D591" t="s">
        <v>133</v>
      </c>
      <c r="E591" t="s">
        <v>100</v>
      </c>
      <c r="F591">
        <v>0</v>
      </c>
      <c r="K591">
        <v>73.644300000000001</v>
      </c>
      <c r="P591">
        <v>72.019599999999997</v>
      </c>
      <c r="U591">
        <v>92.156000000000006</v>
      </c>
      <c r="Z591">
        <v>89.454300000000003</v>
      </c>
      <c r="AE591">
        <v>78.897599999999997</v>
      </c>
      <c r="AJ591">
        <v>64.851100000000002</v>
      </c>
      <c r="CI591" t="s">
        <v>133</v>
      </c>
    </row>
    <row r="592" spans="1:87" x14ac:dyDescent="0.45">
      <c r="A592" t="s">
        <v>24</v>
      </c>
      <c r="B592" t="s">
        <v>2</v>
      </c>
      <c r="C592" t="s">
        <v>46</v>
      </c>
      <c r="D592" t="s">
        <v>134</v>
      </c>
      <c r="E592" t="s">
        <v>100</v>
      </c>
      <c r="F592">
        <v>0</v>
      </c>
      <c r="K592">
        <v>68.449700000000007</v>
      </c>
      <c r="P592">
        <v>72.500200000000007</v>
      </c>
      <c r="U592">
        <v>62.023000000000003</v>
      </c>
      <c r="Z592">
        <v>66.891199999999998</v>
      </c>
      <c r="AE592">
        <v>72.588700000000003</v>
      </c>
      <c r="AJ592">
        <v>89.993300000000005</v>
      </c>
      <c r="CI592" t="s">
        <v>134</v>
      </c>
    </row>
    <row r="593" spans="1:87" x14ac:dyDescent="0.45">
      <c r="A593" t="s">
        <v>24</v>
      </c>
      <c r="B593" t="s">
        <v>2</v>
      </c>
      <c r="C593" t="s">
        <v>46</v>
      </c>
      <c r="D593" t="s">
        <v>135</v>
      </c>
      <c r="E593" t="s">
        <v>26</v>
      </c>
      <c r="F593">
        <v>4.7695999999999996</v>
      </c>
      <c r="K593">
        <v>2.4525000000000001</v>
      </c>
      <c r="P593">
        <v>1.5394000000000001</v>
      </c>
      <c r="U593">
        <v>0.45479999999999998</v>
      </c>
      <c r="Z593">
        <v>0.39190000000000003</v>
      </c>
      <c r="AE593">
        <v>0.14910000000000001</v>
      </c>
      <c r="AJ593">
        <v>1.32E-2</v>
      </c>
      <c r="CI593" t="s">
        <v>135</v>
      </c>
    </row>
    <row r="594" spans="1:87" x14ac:dyDescent="0.45">
      <c r="A594" t="s">
        <v>24</v>
      </c>
      <c r="B594" t="s">
        <v>2</v>
      </c>
      <c r="C594" t="s">
        <v>46</v>
      </c>
      <c r="D594" t="s">
        <v>136</v>
      </c>
      <c r="E594" t="s">
        <v>26</v>
      </c>
      <c r="F594">
        <v>4.3804999999999996</v>
      </c>
      <c r="K594">
        <v>6.1879999999999997</v>
      </c>
      <c r="P594">
        <v>6.6696</v>
      </c>
      <c r="U594">
        <v>8.4763999999999999</v>
      </c>
      <c r="Z594">
        <v>9.1824999999999992</v>
      </c>
      <c r="AE594">
        <v>10.479699999999999</v>
      </c>
      <c r="AJ594">
        <v>12.165900000000001</v>
      </c>
      <c r="CI594" t="s">
        <v>136</v>
      </c>
    </row>
    <row r="595" spans="1:87" x14ac:dyDescent="0.45">
      <c r="A595" t="s">
        <v>24</v>
      </c>
      <c r="B595" t="s">
        <v>2</v>
      </c>
      <c r="C595" t="s">
        <v>46</v>
      </c>
      <c r="D595" t="s">
        <v>137</v>
      </c>
      <c r="E595" t="s">
        <v>26</v>
      </c>
      <c r="F595">
        <v>5.6300000000000003E-2</v>
      </c>
      <c r="K595">
        <v>7.5499999999999998E-2</v>
      </c>
      <c r="P595">
        <v>6.08E-2</v>
      </c>
      <c r="U595">
        <v>0.1399</v>
      </c>
      <c r="Z595">
        <v>0.2339</v>
      </c>
      <c r="AE595">
        <v>0.34639999999999999</v>
      </c>
      <c r="AJ595">
        <v>0.48170000000000002</v>
      </c>
      <c r="CI595" t="s">
        <v>137</v>
      </c>
    </row>
    <row r="596" spans="1:87" x14ac:dyDescent="0.45">
      <c r="A596" t="s">
        <v>24</v>
      </c>
      <c r="B596" t="s">
        <v>2</v>
      </c>
      <c r="C596" t="s">
        <v>46</v>
      </c>
      <c r="D596" t="s">
        <v>138</v>
      </c>
      <c r="E596" t="s">
        <v>26</v>
      </c>
      <c r="F596">
        <v>1.1474</v>
      </c>
      <c r="K596">
        <v>1.1391</v>
      </c>
      <c r="P596">
        <v>1.1309</v>
      </c>
      <c r="U596">
        <v>1.5259</v>
      </c>
      <c r="Z596">
        <v>1.5658000000000001</v>
      </c>
      <c r="AE596">
        <v>1.5964</v>
      </c>
      <c r="AJ596">
        <v>1.6257999999999999</v>
      </c>
      <c r="CI596" t="s">
        <v>138</v>
      </c>
    </row>
    <row r="597" spans="1:87" x14ac:dyDescent="0.45">
      <c r="A597" t="s">
        <v>24</v>
      </c>
      <c r="B597" t="s">
        <v>2</v>
      </c>
      <c r="C597" t="s">
        <v>46</v>
      </c>
      <c r="D597" t="s">
        <v>139</v>
      </c>
      <c r="E597" t="s">
        <v>26</v>
      </c>
      <c r="F597">
        <v>3.0257000000000001</v>
      </c>
      <c r="K597">
        <v>3.0764999999999998</v>
      </c>
      <c r="P597">
        <v>2.9843000000000002</v>
      </c>
      <c r="U597">
        <v>2.1993</v>
      </c>
      <c r="Z597">
        <v>1.7422</v>
      </c>
      <c r="AE597">
        <v>1.0035000000000001</v>
      </c>
      <c r="AJ597">
        <v>0.14410000000000001</v>
      </c>
      <c r="CI597" t="s">
        <v>139</v>
      </c>
    </row>
    <row r="598" spans="1:87" x14ac:dyDescent="0.45">
      <c r="A598" t="s">
        <v>24</v>
      </c>
      <c r="B598" t="s">
        <v>2</v>
      </c>
      <c r="C598" t="s">
        <v>46</v>
      </c>
      <c r="D598" t="s">
        <v>140</v>
      </c>
      <c r="E598" t="s">
        <v>26</v>
      </c>
      <c r="F598">
        <v>0.67310000000000003</v>
      </c>
      <c r="K598">
        <v>0.59640000000000004</v>
      </c>
      <c r="P598">
        <v>0.3518</v>
      </c>
      <c r="U598">
        <v>5.8700000000000002E-2</v>
      </c>
      <c r="Z598">
        <v>0</v>
      </c>
      <c r="AE598">
        <v>0</v>
      </c>
      <c r="AJ598">
        <v>0</v>
      </c>
      <c r="CI598" t="s">
        <v>140</v>
      </c>
    </row>
    <row r="599" spans="1:87" x14ac:dyDescent="0.45">
      <c r="A599" t="s">
        <v>24</v>
      </c>
      <c r="B599" t="s">
        <v>2</v>
      </c>
      <c r="C599" t="s">
        <v>46</v>
      </c>
      <c r="D599" t="s">
        <v>141</v>
      </c>
      <c r="E599" t="s">
        <v>26</v>
      </c>
      <c r="F599">
        <v>0.72960000000000003</v>
      </c>
      <c r="K599">
        <v>0.64749999999999996</v>
      </c>
      <c r="P599">
        <v>2.1642999999999999</v>
      </c>
      <c r="U599">
        <v>3.4198</v>
      </c>
      <c r="Z599">
        <v>3.5731000000000002</v>
      </c>
      <c r="AE599">
        <v>3.5565000000000002</v>
      </c>
      <c r="AJ599">
        <v>4.5937000000000001</v>
      </c>
      <c r="CI599" t="s">
        <v>141</v>
      </c>
    </row>
    <row r="600" spans="1:87" x14ac:dyDescent="0.45">
      <c r="A600" t="s">
        <v>24</v>
      </c>
      <c r="B600" t="s">
        <v>2</v>
      </c>
      <c r="C600" t="s">
        <v>46</v>
      </c>
      <c r="D600" t="s">
        <v>142</v>
      </c>
      <c r="E600" t="s">
        <v>26</v>
      </c>
      <c r="F600">
        <v>2.8241999999999998</v>
      </c>
      <c r="K600">
        <v>2.7119</v>
      </c>
      <c r="P600">
        <v>2.7818000000000001</v>
      </c>
      <c r="U600">
        <v>2.6579999999999999</v>
      </c>
      <c r="Z600">
        <v>2.2363</v>
      </c>
      <c r="AE600">
        <v>1.2727999999999999</v>
      </c>
      <c r="AJ600">
        <v>1.367</v>
      </c>
      <c r="CI600" t="s">
        <v>142</v>
      </c>
    </row>
    <row r="601" spans="1:87" x14ac:dyDescent="0.45">
      <c r="A601" t="s">
        <v>24</v>
      </c>
      <c r="B601" t="s">
        <v>2</v>
      </c>
      <c r="C601" t="s">
        <v>46</v>
      </c>
      <c r="D601" t="s">
        <v>143</v>
      </c>
      <c r="E601" t="s">
        <v>26</v>
      </c>
      <c r="F601">
        <v>1.4123000000000001</v>
      </c>
      <c r="K601">
        <v>3.14</v>
      </c>
      <c r="P601">
        <v>3.1364000000000001</v>
      </c>
      <c r="U601">
        <v>3.2463000000000002</v>
      </c>
      <c r="Z601">
        <v>3.2401</v>
      </c>
      <c r="AE601">
        <v>3.6749999999999998</v>
      </c>
      <c r="AJ601">
        <v>3.6008</v>
      </c>
      <c r="CI601" t="s">
        <v>143</v>
      </c>
    </row>
    <row r="602" spans="1:87" x14ac:dyDescent="0.45">
      <c r="A602" t="s">
        <v>24</v>
      </c>
      <c r="B602" t="s">
        <v>2</v>
      </c>
      <c r="C602" t="s">
        <v>46</v>
      </c>
      <c r="D602" t="s">
        <v>144</v>
      </c>
      <c r="E602" t="s">
        <v>26</v>
      </c>
      <c r="F602">
        <v>21.819099999999999</v>
      </c>
      <c r="K602">
        <v>20.774999999999999</v>
      </c>
      <c r="P602">
        <v>20.5472</v>
      </c>
      <c r="U602">
        <v>22.6189</v>
      </c>
      <c r="Z602">
        <v>23.491900000000001</v>
      </c>
      <c r="AE602">
        <v>24.964300000000001</v>
      </c>
      <c r="AJ602">
        <v>27.145099999999999</v>
      </c>
      <c r="CI602" t="s">
        <v>144</v>
      </c>
    </row>
    <row r="603" spans="1:87" x14ac:dyDescent="0.45">
      <c r="A603" t="s">
        <v>24</v>
      </c>
      <c r="B603" t="s">
        <v>2</v>
      </c>
      <c r="C603" t="s">
        <v>46</v>
      </c>
      <c r="D603" t="s">
        <v>145</v>
      </c>
      <c r="E603" t="s">
        <v>26</v>
      </c>
      <c r="F603">
        <v>21.819099999999999</v>
      </c>
      <c r="K603">
        <v>20.774999999999999</v>
      </c>
      <c r="P603">
        <v>20.5472</v>
      </c>
      <c r="U603">
        <v>22.6189</v>
      </c>
      <c r="Z603">
        <v>23.491900000000001</v>
      </c>
      <c r="AE603">
        <v>24.964300000000001</v>
      </c>
      <c r="AJ603">
        <v>27.145099999999999</v>
      </c>
      <c r="CI603" t="s">
        <v>145</v>
      </c>
    </row>
    <row r="604" spans="1:87" x14ac:dyDescent="0.45">
      <c r="A604" t="s">
        <v>24</v>
      </c>
      <c r="B604" t="s">
        <v>2</v>
      </c>
      <c r="C604" t="s">
        <v>46</v>
      </c>
      <c r="D604" t="s">
        <v>146</v>
      </c>
      <c r="E604" t="s">
        <v>26</v>
      </c>
      <c r="F604">
        <v>0</v>
      </c>
      <c r="K604">
        <v>0</v>
      </c>
      <c r="P604">
        <v>0</v>
      </c>
      <c r="U604">
        <v>0</v>
      </c>
      <c r="Z604">
        <v>0</v>
      </c>
      <c r="AE604">
        <v>0</v>
      </c>
      <c r="AJ604">
        <v>0</v>
      </c>
      <c r="CI604" t="s">
        <v>146</v>
      </c>
    </row>
    <row r="605" spans="1:87" x14ac:dyDescent="0.45">
      <c r="A605" t="s">
        <v>24</v>
      </c>
      <c r="B605" t="s">
        <v>2</v>
      </c>
      <c r="C605" t="s">
        <v>46</v>
      </c>
      <c r="D605" t="s">
        <v>147</v>
      </c>
      <c r="E605" t="s">
        <v>26</v>
      </c>
      <c r="F605">
        <v>0.32229999999999998</v>
      </c>
      <c r="K605">
        <v>0.38440000000000002</v>
      </c>
      <c r="P605">
        <v>0.35439999999999999</v>
      </c>
      <c r="U605">
        <v>0.4587</v>
      </c>
      <c r="Z605">
        <v>0.622</v>
      </c>
      <c r="AE605">
        <v>0.71960000000000002</v>
      </c>
      <c r="AJ605">
        <v>0.72589999999999999</v>
      </c>
      <c r="CI605" t="s">
        <v>147</v>
      </c>
    </row>
    <row r="606" spans="1:87" x14ac:dyDescent="0.45">
      <c r="A606" t="s">
        <v>24</v>
      </c>
      <c r="B606" t="s">
        <v>2</v>
      </c>
      <c r="C606" t="s">
        <v>46</v>
      </c>
      <c r="D606" t="s">
        <v>148</v>
      </c>
      <c r="E606" t="s">
        <v>26</v>
      </c>
      <c r="F606">
        <v>0.1336</v>
      </c>
      <c r="K606">
        <v>0.12859999999999999</v>
      </c>
      <c r="P606">
        <v>0.1244</v>
      </c>
      <c r="U606">
        <v>0.11940000000000001</v>
      </c>
      <c r="Z606">
        <v>0.11509999999999999</v>
      </c>
      <c r="AE606">
        <v>9.3200000000000005E-2</v>
      </c>
      <c r="AJ606">
        <v>0.1046</v>
      </c>
      <c r="CI606" t="s">
        <v>148</v>
      </c>
    </row>
    <row r="607" spans="1:87" x14ac:dyDescent="0.45">
      <c r="A607" t="s">
        <v>24</v>
      </c>
      <c r="B607" t="s">
        <v>2</v>
      </c>
      <c r="C607" t="s">
        <v>46</v>
      </c>
      <c r="D607" t="s">
        <v>149</v>
      </c>
      <c r="E607" t="s">
        <v>26</v>
      </c>
      <c r="F607">
        <v>28.018599999999999</v>
      </c>
      <c r="K607">
        <v>24.247299999999999</v>
      </c>
      <c r="P607">
        <v>23.392099999999999</v>
      </c>
      <c r="U607">
        <v>20.9512</v>
      </c>
      <c r="Z607">
        <v>20.532</v>
      </c>
      <c r="AE607">
        <v>17.174399999999999</v>
      </c>
      <c r="AJ607">
        <v>16.350100000000001</v>
      </c>
      <c r="CI607" t="s">
        <v>149</v>
      </c>
    </row>
    <row r="608" spans="1:87" x14ac:dyDescent="0.45">
      <c r="A608" t="s">
        <v>24</v>
      </c>
      <c r="B608" t="s">
        <v>2</v>
      </c>
      <c r="C608" t="s">
        <v>46</v>
      </c>
      <c r="D608" t="s">
        <v>150</v>
      </c>
      <c r="E608" t="s">
        <v>26</v>
      </c>
      <c r="F608">
        <v>2.6699000000000002</v>
      </c>
      <c r="K608">
        <v>2.4590999999999998</v>
      </c>
      <c r="P608">
        <v>3.0710999999999999</v>
      </c>
      <c r="U608">
        <v>2.6273</v>
      </c>
      <c r="Z608">
        <v>2.6497999999999999</v>
      </c>
      <c r="AE608">
        <v>2.2688000000000001</v>
      </c>
      <c r="AJ608">
        <v>1.9207000000000001</v>
      </c>
      <c r="CI608" t="s">
        <v>150</v>
      </c>
    </row>
    <row r="609" spans="1:87" x14ac:dyDescent="0.45">
      <c r="A609" t="s">
        <v>24</v>
      </c>
      <c r="B609" t="s">
        <v>2</v>
      </c>
      <c r="C609" t="s">
        <v>46</v>
      </c>
      <c r="D609" t="s">
        <v>151</v>
      </c>
      <c r="E609" t="s">
        <v>26</v>
      </c>
      <c r="F609">
        <v>3.3E-3</v>
      </c>
      <c r="K609">
        <v>0</v>
      </c>
      <c r="P609">
        <v>0</v>
      </c>
      <c r="U609">
        <v>0</v>
      </c>
      <c r="Z609">
        <v>0</v>
      </c>
      <c r="AE609">
        <v>0</v>
      </c>
      <c r="AJ609">
        <v>0</v>
      </c>
      <c r="CI609" t="s">
        <v>151</v>
      </c>
    </row>
    <row r="610" spans="1:87" x14ac:dyDescent="0.45">
      <c r="A610" t="s">
        <v>24</v>
      </c>
      <c r="B610" t="s">
        <v>2</v>
      </c>
      <c r="C610" t="s">
        <v>46</v>
      </c>
      <c r="D610" t="s">
        <v>152</v>
      </c>
      <c r="E610" t="s">
        <v>26</v>
      </c>
      <c r="F610">
        <v>25.345300000000002</v>
      </c>
      <c r="K610">
        <v>21.7883</v>
      </c>
      <c r="P610">
        <v>20.321100000000001</v>
      </c>
      <c r="U610">
        <v>18.323799999999999</v>
      </c>
      <c r="Z610">
        <v>17.882300000000001</v>
      </c>
      <c r="AE610">
        <v>14.9056</v>
      </c>
      <c r="AJ610">
        <v>14.429399999999999</v>
      </c>
      <c r="CI610" t="s">
        <v>152</v>
      </c>
    </row>
    <row r="611" spans="1:87" x14ac:dyDescent="0.45">
      <c r="A611" t="s">
        <v>24</v>
      </c>
      <c r="B611" t="s">
        <v>2</v>
      </c>
      <c r="C611" t="s">
        <v>46</v>
      </c>
      <c r="D611" t="s">
        <v>153</v>
      </c>
      <c r="E611" t="s">
        <v>26</v>
      </c>
      <c r="F611">
        <v>1.0202</v>
      </c>
      <c r="K611">
        <v>1.3508</v>
      </c>
      <c r="P611">
        <v>1.5484</v>
      </c>
      <c r="U611">
        <v>1.8337000000000001</v>
      </c>
      <c r="Z611">
        <v>0.95850000000000002</v>
      </c>
      <c r="AE611">
        <v>0.91859999999999997</v>
      </c>
      <c r="AJ611">
        <v>0.87090000000000001</v>
      </c>
      <c r="CI611" t="s">
        <v>153</v>
      </c>
    </row>
    <row r="612" spans="1:87" x14ac:dyDescent="0.45">
      <c r="A612" t="s">
        <v>24</v>
      </c>
      <c r="B612" t="s">
        <v>2</v>
      </c>
      <c r="C612" t="s">
        <v>46</v>
      </c>
      <c r="D612" t="s">
        <v>154</v>
      </c>
      <c r="E612" t="s">
        <v>26</v>
      </c>
      <c r="F612">
        <v>0.222</v>
      </c>
      <c r="K612">
        <v>0.48220000000000002</v>
      </c>
      <c r="P612">
        <v>0.50619999999999998</v>
      </c>
      <c r="U612">
        <v>0.84689999999999999</v>
      </c>
      <c r="Z612">
        <v>0.42380000000000001</v>
      </c>
      <c r="AE612">
        <v>0.41260000000000002</v>
      </c>
      <c r="AJ612">
        <v>0.39410000000000001</v>
      </c>
      <c r="CI612" t="s">
        <v>154</v>
      </c>
    </row>
    <row r="613" spans="1:87" x14ac:dyDescent="0.45">
      <c r="A613" t="s">
        <v>24</v>
      </c>
      <c r="B613" t="s">
        <v>2</v>
      </c>
      <c r="C613" t="s">
        <v>46</v>
      </c>
      <c r="D613" t="s">
        <v>155</v>
      </c>
      <c r="E613" t="s">
        <v>26</v>
      </c>
      <c r="F613">
        <v>0.79820000000000002</v>
      </c>
      <c r="K613">
        <v>0.86870000000000003</v>
      </c>
      <c r="P613">
        <v>1.0421</v>
      </c>
      <c r="U613">
        <v>0.98670000000000002</v>
      </c>
      <c r="Z613">
        <v>0.53469999999999995</v>
      </c>
      <c r="AE613">
        <v>0.50600000000000001</v>
      </c>
      <c r="AJ613">
        <v>0.4768</v>
      </c>
      <c r="CI613" t="s">
        <v>155</v>
      </c>
    </row>
    <row r="614" spans="1:87" x14ac:dyDescent="0.45">
      <c r="A614" t="s">
        <v>24</v>
      </c>
      <c r="B614" t="s">
        <v>2</v>
      </c>
      <c r="C614" t="s">
        <v>46</v>
      </c>
      <c r="D614" t="s">
        <v>156</v>
      </c>
      <c r="E614" t="s">
        <v>48</v>
      </c>
      <c r="F614">
        <v>67.531099999999995</v>
      </c>
      <c r="K614">
        <v>60.162500000000001</v>
      </c>
      <c r="P614">
        <v>54.088900000000002</v>
      </c>
      <c r="U614">
        <v>49.581099999999999</v>
      </c>
      <c r="Z614">
        <v>45.363</v>
      </c>
      <c r="AE614">
        <v>40.702100000000002</v>
      </c>
      <c r="AJ614">
        <v>34.7943</v>
      </c>
      <c r="CI614" t="s">
        <v>156</v>
      </c>
    </row>
    <row r="615" spans="1:87" x14ac:dyDescent="0.45">
      <c r="A615" t="s">
        <v>24</v>
      </c>
      <c r="B615" t="s">
        <v>2</v>
      </c>
      <c r="C615" t="s">
        <v>46</v>
      </c>
      <c r="D615" t="s">
        <v>157</v>
      </c>
      <c r="E615" t="s">
        <v>48</v>
      </c>
      <c r="F615">
        <v>90.505899999999997</v>
      </c>
      <c r="K615">
        <v>68.875200000000007</v>
      </c>
      <c r="P615">
        <v>48.618699999999997</v>
      </c>
      <c r="U615">
        <v>35.261899999999997</v>
      </c>
      <c r="Z615">
        <v>21.803999999999998</v>
      </c>
      <c r="AE615">
        <v>10.0105</v>
      </c>
      <c r="CI615" t="s">
        <v>157</v>
      </c>
    </row>
    <row r="616" spans="1:87" x14ac:dyDescent="0.45">
      <c r="A616" t="s">
        <v>24</v>
      </c>
      <c r="B616" t="s">
        <v>2</v>
      </c>
      <c r="C616" t="s">
        <v>46</v>
      </c>
      <c r="D616" t="s">
        <v>158</v>
      </c>
      <c r="E616" t="s">
        <v>48</v>
      </c>
      <c r="F616">
        <v>6.8491</v>
      </c>
      <c r="K616">
        <v>5.7076000000000002</v>
      </c>
      <c r="P616">
        <v>4.5660999999999996</v>
      </c>
      <c r="U616">
        <v>3.4245999999999999</v>
      </c>
      <c r="Z616">
        <v>2.2829999999999999</v>
      </c>
      <c r="AE616">
        <v>1.1415</v>
      </c>
      <c r="CI616" t="s">
        <v>158</v>
      </c>
    </row>
    <row r="617" spans="1:87" x14ac:dyDescent="0.45">
      <c r="A617" t="s">
        <v>24</v>
      </c>
      <c r="B617" t="s">
        <v>2</v>
      </c>
      <c r="C617" t="s">
        <v>46</v>
      </c>
      <c r="D617" t="s">
        <v>159</v>
      </c>
      <c r="E617" t="s">
        <v>48</v>
      </c>
      <c r="F617">
        <v>34.7941</v>
      </c>
      <c r="K617">
        <v>34.7941</v>
      </c>
      <c r="P617">
        <v>34.7941</v>
      </c>
      <c r="U617">
        <v>34.7941</v>
      </c>
      <c r="Z617">
        <v>34.7941</v>
      </c>
      <c r="AE617">
        <v>34.7941</v>
      </c>
      <c r="AJ617">
        <v>34.7941</v>
      </c>
      <c r="CI617" t="s">
        <v>159</v>
      </c>
    </row>
    <row r="618" spans="1:87" x14ac:dyDescent="0.45">
      <c r="A618" t="s">
        <v>24</v>
      </c>
      <c r="B618" t="s">
        <v>2</v>
      </c>
      <c r="C618" t="s">
        <v>46</v>
      </c>
      <c r="D618" t="s">
        <v>160</v>
      </c>
      <c r="E618" t="s">
        <v>66</v>
      </c>
      <c r="F618">
        <v>4.1596000000000002</v>
      </c>
      <c r="K618">
        <v>3.4664000000000001</v>
      </c>
      <c r="P618">
        <v>2.7730999999999999</v>
      </c>
      <c r="U618">
        <v>2.0798000000000001</v>
      </c>
      <c r="Z618">
        <v>1.3865000000000001</v>
      </c>
      <c r="AE618">
        <v>0.69330000000000003</v>
      </c>
      <c r="CI618" t="s">
        <v>160</v>
      </c>
    </row>
    <row r="619" spans="1:87" x14ac:dyDescent="0.45">
      <c r="A619" t="s">
        <v>24</v>
      </c>
      <c r="B619" t="s">
        <v>2</v>
      </c>
      <c r="C619" t="s">
        <v>46</v>
      </c>
      <c r="D619" t="s">
        <v>161</v>
      </c>
      <c r="E619" t="s">
        <v>26</v>
      </c>
      <c r="F619">
        <v>-1.4322999999999999</v>
      </c>
      <c r="K619">
        <v>-1.1167</v>
      </c>
      <c r="P619">
        <v>-0.52329999999999999</v>
      </c>
      <c r="U619">
        <v>2.6599999999999999E-2</v>
      </c>
      <c r="Z619">
        <v>0.20330000000000001</v>
      </c>
      <c r="AE619">
        <v>0.1166</v>
      </c>
      <c r="AJ619">
        <v>0</v>
      </c>
      <c r="CI619" t="s">
        <v>161</v>
      </c>
    </row>
    <row r="620" spans="1:87" x14ac:dyDescent="0.45">
      <c r="A620" t="s">
        <v>24</v>
      </c>
      <c r="B620" t="s">
        <v>2</v>
      </c>
      <c r="C620" t="s">
        <v>46</v>
      </c>
      <c r="D620" t="s">
        <v>162</v>
      </c>
      <c r="E620" t="s">
        <v>26</v>
      </c>
      <c r="F620">
        <v>-0.28810000000000002</v>
      </c>
      <c r="K620">
        <v>-0.2387</v>
      </c>
      <c r="P620">
        <v>-0.2296</v>
      </c>
      <c r="U620">
        <v>-0.15920000000000001</v>
      </c>
      <c r="Z620">
        <v>-0.1003</v>
      </c>
      <c r="AE620">
        <v>-4.4200000000000003E-2</v>
      </c>
      <c r="CI620" t="s">
        <v>162</v>
      </c>
    </row>
    <row r="621" spans="1:87" x14ac:dyDescent="0.45">
      <c r="A621" t="s">
        <v>24</v>
      </c>
      <c r="B621" t="s">
        <v>2</v>
      </c>
      <c r="C621" t="s">
        <v>46</v>
      </c>
      <c r="D621" t="s">
        <v>163</v>
      </c>
      <c r="E621" t="s">
        <v>26</v>
      </c>
      <c r="F621">
        <v>-0.49230000000000002</v>
      </c>
      <c r="K621">
        <v>-0.21310000000000001</v>
      </c>
      <c r="P621">
        <v>-0.1149</v>
      </c>
      <c r="U621">
        <v>-3.8100000000000002E-2</v>
      </c>
      <c r="Z621">
        <v>-1.6400000000000001E-2</v>
      </c>
      <c r="AE621">
        <v>-5.1000000000000004E-3</v>
      </c>
      <c r="AJ621">
        <v>0</v>
      </c>
      <c r="CI621" t="s">
        <v>163</v>
      </c>
    </row>
    <row r="622" spans="1:87" x14ac:dyDescent="0.45">
      <c r="A622" t="s">
        <v>24</v>
      </c>
      <c r="B622" t="s">
        <v>2</v>
      </c>
      <c r="C622" t="s">
        <v>46</v>
      </c>
      <c r="D622" t="s">
        <v>164</v>
      </c>
      <c r="E622" t="s">
        <v>26</v>
      </c>
      <c r="F622">
        <v>-0.49230000000000002</v>
      </c>
      <c r="K622">
        <v>-0.21310000000000001</v>
      </c>
      <c r="P622">
        <v>-0.1149</v>
      </c>
      <c r="U622">
        <v>-3.8100000000000002E-2</v>
      </c>
      <c r="Z622">
        <v>-1.6400000000000001E-2</v>
      </c>
      <c r="AE622">
        <v>-5.1000000000000004E-3</v>
      </c>
      <c r="CI622" t="s">
        <v>164</v>
      </c>
    </row>
    <row r="623" spans="1:87" x14ac:dyDescent="0.45">
      <c r="A623" t="s">
        <v>24</v>
      </c>
      <c r="B623" t="s">
        <v>2</v>
      </c>
      <c r="C623" t="s">
        <v>46</v>
      </c>
      <c r="D623" t="s">
        <v>165</v>
      </c>
      <c r="E623" t="s">
        <v>26</v>
      </c>
      <c r="F623">
        <v>0.33889999999999998</v>
      </c>
      <c r="K623">
        <v>0.27760000000000001</v>
      </c>
      <c r="P623">
        <v>0.19919999999999999</v>
      </c>
      <c r="U623">
        <v>0.157</v>
      </c>
      <c r="Z623">
        <v>0.1103</v>
      </c>
      <c r="AE623">
        <v>6.1100000000000002E-2</v>
      </c>
      <c r="AJ623">
        <v>1E-4</v>
      </c>
      <c r="CI623" t="s">
        <v>165</v>
      </c>
    </row>
    <row r="624" spans="1:87" x14ac:dyDescent="0.45">
      <c r="A624" t="s">
        <v>24</v>
      </c>
      <c r="B624" t="s">
        <v>2</v>
      </c>
      <c r="C624" t="s">
        <v>46</v>
      </c>
      <c r="D624" t="s">
        <v>166</v>
      </c>
      <c r="E624" t="s">
        <v>26</v>
      </c>
      <c r="U624">
        <v>0</v>
      </c>
      <c r="Z624">
        <v>0</v>
      </c>
      <c r="AE624">
        <v>-1E-4</v>
      </c>
      <c r="AJ624">
        <v>0</v>
      </c>
      <c r="CI624" t="s">
        <v>166</v>
      </c>
    </row>
    <row r="625" spans="1:87" x14ac:dyDescent="0.45">
      <c r="A625" t="s">
        <v>24</v>
      </c>
      <c r="B625" t="s">
        <v>2</v>
      </c>
      <c r="C625" t="s">
        <v>46</v>
      </c>
      <c r="D625" t="s">
        <v>167</v>
      </c>
      <c r="E625" t="s">
        <v>26</v>
      </c>
      <c r="F625">
        <v>0.33889999999999998</v>
      </c>
      <c r="K625">
        <v>0.27760000000000001</v>
      </c>
      <c r="P625">
        <v>0.19919999999999999</v>
      </c>
      <c r="U625">
        <v>0.15820000000000001</v>
      </c>
      <c r="Z625">
        <v>0.11219999999999999</v>
      </c>
      <c r="AE625">
        <v>6.3200000000000006E-2</v>
      </c>
      <c r="AJ625">
        <v>0</v>
      </c>
      <c r="CI625" t="s">
        <v>167</v>
      </c>
    </row>
    <row r="626" spans="1:87" x14ac:dyDescent="0.45">
      <c r="A626" t="s">
        <v>24</v>
      </c>
      <c r="B626" t="s">
        <v>2</v>
      </c>
      <c r="C626" t="s">
        <v>46</v>
      </c>
      <c r="D626" t="s">
        <v>168</v>
      </c>
      <c r="E626" t="s">
        <v>26</v>
      </c>
      <c r="F626">
        <v>-1.0226</v>
      </c>
      <c r="K626">
        <v>-0.82889999999999997</v>
      </c>
      <c r="P626">
        <v>-0.66220000000000001</v>
      </c>
      <c r="U626">
        <v>-0.55630000000000002</v>
      </c>
      <c r="Z626">
        <v>-0.3836</v>
      </c>
      <c r="AE626">
        <v>-0.2034</v>
      </c>
      <c r="AJ626">
        <v>0</v>
      </c>
      <c r="CI626" t="s">
        <v>168</v>
      </c>
    </row>
    <row r="627" spans="1:87" x14ac:dyDescent="0.45">
      <c r="A627" t="s">
        <v>24</v>
      </c>
      <c r="B627" t="s">
        <v>2</v>
      </c>
      <c r="C627" t="s">
        <v>46</v>
      </c>
      <c r="D627" t="s">
        <v>169</v>
      </c>
      <c r="E627" t="s">
        <v>26</v>
      </c>
      <c r="F627">
        <v>-1.0226</v>
      </c>
      <c r="K627">
        <v>-0.82889999999999997</v>
      </c>
      <c r="P627">
        <v>-0.66220000000000001</v>
      </c>
      <c r="U627">
        <v>-0.55620000000000003</v>
      </c>
      <c r="Z627">
        <v>-0.3836</v>
      </c>
      <c r="AE627">
        <v>-0.20330000000000001</v>
      </c>
      <c r="CI627" t="s">
        <v>169</v>
      </c>
    </row>
    <row r="628" spans="1:87" x14ac:dyDescent="0.45">
      <c r="A628" t="s">
        <v>24</v>
      </c>
      <c r="B628" t="s">
        <v>2</v>
      </c>
      <c r="C628" t="s">
        <v>46</v>
      </c>
      <c r="D628" t="s">
        <v>170</v>
      </c>
      <c r="E628" t="s">
        <v>26</v>
      </c>
      <c r="F628">
        <v>1.18E-2</v>
      </c>
      <c r="K628">
        <v>1.1599999999999999E-2</v>
      </c>
      <c r="P628">
        <v>7.3000000000000001E-3</v>
      </c>
      <c r="U628">
        <v>1.09E-2</v>
      </c>
      <c r="Z628">
        <v>1.14E-2</v>
      </c>
      <c r="AE628">
        <v>8.0999999999999996E-3</v>
      </c>
      <c r="CI628" t="s">
        <v>170</v>
      </c>
    </row>
    <row r="629" spans="1:87" x14ac:dyDescent="0.45">
      <c r="A629" t="s">
        <v>24</v>
      </c>
      <c r="B629" t="s">
        <v>2</v>
      </c>
      <c r="C629" t="s">
        <v>46</v>
      </c>
      <c r="D629" t="s">
        <v>171</v>
      </c>
      <c r="E629" t="s">
        <v>26</v>
      </c>
      <c r="F629">
        <v>-0.1459</v>
      </c>
      <c r="K629">
        <v>-0.1207</v>
      </c>
      <c r="P629">
        <v>-9.5799999999999996E-2</v>
      </c>
      <c r="U629">
        <v>-9.7000000000000003E-2</v>
      </c>
      <c r="Z629">
        <v>-6.6299999999999998E-2</v>
      </c>
      <c r="AE629">
        <v>-3.3799999999999997E-2</v>
      </c>
      <c r="CI629" t="s">
        <v>171</v>
      </c>
    </row>
    <row r="630" spans="1:87" x14ac:dyDescent="0.45">
      <c r="A630" t="s">
        <v>24</v>
      </c>
      <c r="B630" t="s">
        <v>2</v>
      </c>
      <c r="C630" t="s">
        <v>46</v>
      </c>
      <c r="D630" t="s">
        <v>172</v>
      </c>
      <c r="E630" t="s">
        <v>26</v>
      </c>
      <c r="F630">
        <v>-4.2999999999999997E-2</v>
      </c>
      <c r="K630">
        <v>-3.6499999999999998E-2</v>
      </c>
      <c r="P630">
        <v>-2.8299999999999999E-2</v>
      </c>
      <c r="U630">
        <v>-1.5699999999999999E-2</v>
      </c>
      <c r="Z630">
        <v>-8.3000000000000001E-3</v>
      </c>
      <c r="AE630">
        <v>-2.3999999999999998E-3</v>
      </c>
      <c r="CI630" t="s">
        <v>172</v>
      </c>
    </row>
    <row r="631" spans="1:87" x14ac:dyDescent="0.45">
      <c r="A631" t="s">
        <v>24</v>
      </c>
      <c r="B631" t="s">
        <v>2</v>
      </c>
      <c r="C631" t="s">
        <v>46</v>
      </c>
      <c r="D631" t="s">
        <v>173</v>
      </c>
      <c r="E631" t="s">
        <v>26</v>
      </c>
      <c r="F631">
        <v>0.51870000000000005</v>
      </c>
      <c r="K631">
        <v>0.45379999999999998</v>
      </c>
      <c r="P631">
        <v>0.31290000000000001</v>
      </c>
      <c r="U631">
        <v>0.24590000000000001</v>
      </c>
      <c r="Z631">
        <v>0.14460000000000001</v>
      </c>
      <c r="AE631">
        <v>6.1800000000000001E-2</v>
      </c>
      <c r="CI631" t="s">
        <v>173</v>
      </c>
    </row>
    <row r="632" spans="1:87" x14ac:dyDescent="0.45">
      <c r="A632" t="s">
        <v>24</v>
      </c>
      <c r="B632" t="s">
        <v>2</v>
      </c>
      <c r="C632" t="s">
        <v>46</v>
      </c>
      <c r="D632" t="s">
        <v>174</v>
      </c>
      <c r="E632" t="s">
        <v>26</v>
      </c>
      <c r="F632">
        <v>0.51870000000000005</v>
      </c>
      <c r="K632">
        <v>0.45379999999999998</v>
      </c>
      <c r="P632">
        <v>0.31290000000000001</v>
      </c>
      <c r="U632">
        <v>0.24590000000000001</v>
      </c>
      <c r="Z632">
        <v>0.14460000000000001</v>
      </c>
      <c r="AE632">
        <v>6.1800000000000001E-2</v>
      </c>
      <c r="CI632" t="s">
        <v>174</v>
      </c>
    </row>
    <row r="633" spans="1:87" x14ac:dyDescent="0.45">
      <c r="A633" t="s">
        <v>24</v>
      </c>
      <c r="B633" t="s">
        <v>2</v>
      </c>
      <c r="C633" t="s">
        <v>46</v>
      </c>
      <c r="D633" t="s">
        <v>175</v>
      </c>
      <c r="E633" t="s">
        <v>26</v>
      </c>
      <c r="F633">
        <v>0.38219999999999998</v>
      </c>
      <c r="K633">
        <v>0.51029999999999998</v>
      </c>
      <c r="P633">
        <v>0.81020000000000003</v>
      </c>
      <c r="U633">
        <v>1.0421</v>
      </c>
      <c r="Z633">
        <v>0.89239999999999997</v>
      </c>
      <c r="AE633">
        <v>0.48870000000000002</v>
      </c>
      <c r="CI633" t="s">
        <v>175</v>
      </c>
    </row>
    <row r="634" spans="1:87" x14ac:dyDescent="0.45">
      <c r="A634" t="s">
        <v>24</v>
      </c>
      <c r="B634" t="s">
        <v>2</v>
      </c>
      <c r="C634" t="s">
        <v>46</v>
      </c>
      <c r="D634" t="s">
        <v>176</v>
      </c>
      <c r="E634" t="s">
        <v>26</v>
      </c>
      <c r="F634">
        <v>-0.35320000000000001</v>
      </c>
      <c r="K634">
        <v>-0.65439999999999998</v>
      </c>
      <c r="P634">
        <v>-0.52300000000000002</v>
      </c>
      <c r="U634">
        <v>-0.40600000000000003</v>
      </c>
      <c r="Z634">
        <v>-0.27010000000000001</v>
      </c>
      <c r="AE634">
        <v>-0.1532</v>
      </c>
      <c r="CI634" t="s">
        <v>176</v>
      </c>
    </row>
    <row r="635" spans="1:87" x14ac:dyDescent="0.45">
      <c r="A635" t="s">
        <v>24</v>
      </c>
      <c r="B635" t="s">
        <v>2</v>
      </c>
      <c r="C635" t="s">
        <v>46</v>
      </c>
      <c r="D635" t="s">
        <v>177</v>
      </c>
      <c r="E635" t="s">
        <v>26</v>
      </c>
      <c r="F635">
        <v>-1.4631000000000001</v>
      </c>
      <c r="K635">
        <v>-1.6866000000000001</v>
      </c>
      <c r="P635">
        <v>-1.7499</v>
      </c>
      <c r="U635">
        <v>-1.6669</v>
      </c>
      <c r="Z635">
        <v>-1.1408</v>
      </c>
      <c r="AE635">
        <v>-0.58330000000000004</v>
      </c>
      <c r="AJ635">
        <v>0</v>
      </c>
      <c r="CI635" t="s">
        <v>177</v>
      </c>
    </row>
    <row r="636" spans="1:87" x14ac:dyDescent="0.45">
      <c r="A636" t="s">
        <v>24</v>
      </c>
      <c r="B636" t="s">
        <v>2</v>
      </c>
      <c r="C636" t="s">
        <v>46</v>
      </c>
      <c r="D636" t="s">
        <v>178</v>
      </c>
      <c r="E636" t="s">
        <v>26</v>
      </c>
      <c r="F636">
        <v>-0.34279999999999999</v>
      </c>
      <c r="K636">
        <v>-0.3019</v>
      </c>
      <c r="P636">
        <v>-0.15</v>
      </c>
      <c r="U636">
        <v>-8.9599999999999999E-2</v>
      </c>
      <c r="Z636">
        <v>-5.1900000000000002E-2</v>
      </c>
      <c r="AE636">
        <v>-8.0000000000000002E-3</v>
      </c>
      <c r="CI636" t="s">
        <v>178</v>
      </c>
    </row>
    <row r="637" spans="1:87" x14ac:dyDescent="0.45">
      <c r="A637" t="s">
        <v>24</v>
      </c>
      <c r="B637" t="s">
        <v>2</v>
      </c>
      <c r="C637" t="s">
        <v>46</v>
      </c>
      <c r="D637" t="s">
        <v>179</v>
      </c>
      <c r="E637" t="s">
        <v>26</v>
      </c>
      <c r="F637">
        <v>0.15060000000000001</v>
      </c>
      <c r="K637">
        <v>6.4500000000000002E-2</v>
      </c>
      <c r="P637">
        <v>3.2399999999999998E-2</v>
      </c>
      <c r="U637">
        <v>7.1999999999999998E-3</v>
      </c>
      <c r="Z637">
        <v>4.1000000000000003E-3</v>
      </c>
      <c r="AE637">
        <v>8.0000000000000004E-4</v>
      </c>
      <c r="CI637" t="s">
        <v>179</v>
      </c>
    </row>
    <row r="638" spans="1:87" x14ac:dyDescent="0.45">
      <c r="A638" t="s">
        <v>24</v>
      </c>
      <c r="B638" t="s">
        <v>2</v>
      </c>
      <c r="C638" t="s">
        <v>46</v>
      </c>
      <c r="D638" t="s">
        <v>180</v>
      </c>
      <c r="E638" t="s">
        <v>26</v>
      </c>
      <c r="F638">
        <v>-0.30020000000000002</v>
      </c>
      <c r="K638">
        <v>-0.3533</v>
      </c>
      <c r="P638">
        <v>-0.30470000000000003</v>
      </c>
      <c r="U638">
        <v>-0.29039999999999999</v>
      </c>
      <c r="Z638">
        <v>-0.2097</v>
      </c>
      <c r="AE638">
        <v>-0.1197</v>
      </c>
      <c r="CI638" t="s">
        <v>180</v>
      </c>
    </row>
    <row r="639" spans="1:87" x14ac:dyDescent="0.45">
      <c r="A639" t="s">
        <v>24</v>
      </c>
      <c r="B639" t="s">
        <v>2</v>
      </c>
      <c r="C639" t="s">
        <v>46</v>
      </c>
      <c r="D639" t="s">
        <v>181</v>
      </c>
      <c r="E639" t="s">
        <v>26</v>
      </c>
      <c r="F639">
        <v>1.7399999999999999E-2</v>
      </c>
      <c r="K639">
        <v>1.9400000000000001E-2</v>
      </c>
      <c r="P639">
        <v>1.2500000000000001E-2</v>
      </c>
      <c r="U639">
        <v>2.1600000000000001E-2</v>
      </c>
      <c r="Z639">
        <v>2.41E-2</v>
      </c>
      <c r="AE639">
        <v>1.78E-2</v>
      </c>
      <c r="CI639" t="s">
        <v>181</v>
      </c>
    </row>
    <row r="640" spans="1:87" x14ac:dyDescent="0.45">
      <c r="A640" t="s">
        <v>24</v>
      </c>
      <c r="B640" t="s">
        <v>2</v>
      </c>
      <c r="C640" t="s">
        <v>46</v>
      </c>
      <c r="D640" t="s">
        <v>182</v>
      </c>
      <c r="E640" t="s">
        <v>26</v>
      </c>
      <c r="F640">
        <v>-0.1459</v>
      </c>
      <c r="K640">
        <v>-0.1207</v>
      </c>
      <c r="P640">
        <v>-9.5799999999999996E-2</v>
      </c>
      <c r="U640">
        <v>-9.7000000000000003E-2</v>
      </c>
      <c r="Z640">
        <v>-6.6299999999999998E-2</v>
      </c>
      <c r="AE640">
        <v>-3.3799999999999997E-2</v>
      </c>
      <c r="CI640" t="s">
        <v>182</v>
      </c>
    </row>
    <row r="641" spans="1:87" x14ac:dyDescent="0.45">
      <c r="A641" t="s">
        <v>24</v>
      </c>
      <c r="B641" t="s">
        <v>2</v>
      </c>
      <c r="C641" t="s">
        <v>46</v>
      </c>
      <c r="D641" t="s">
        <v>183</v>
      </c>
      <c r="E641" t="s">
        <v>26</v>
      </c>
      <c r="F641">
        <v>-4.6600000000000003E-2</v>
      </c>
      <c r="K641">
        <v>-3.9399999999999998E-2</v>
      </c>
      <c r="P641">
        <v>-3.0599999999999999E-2</v>
      </c>
      <c r="U641">
        <v>-1.6899999999999998E-2</v>
      </c>
      <c r="Z641">
        <v>-8.8999999999999999E-3</v>
      </c>
      <c r="AE641">
        <v>-2.5999999999999999E-3</v>
      </c>
      <c r="CI641" t="s">
        <v>183</v>
      </c>
    </row>
    <row r="642" spans="1:87" x14ac:dyDescent="0.45">
      <c r="A642" t="s">
        <v>24</v>
      </c>
      <c r="B642" t="s">
        <v>2</v>
      </c>
      <c r="C642" t="s">
        <v>46</v>
      </c>
      <c r="D642" t="s">
        <v>184</v>
      </c>
      <c r="E642" t="s">
        <v>26</v>
      </c>
      <c r="F642">
        <v>-5.6099999999999997E-2</v>
      </c>
      <c r="K642">
        <v>-4.1399999999999999E-2</v>
      </c>
      <c r="P642">
        <v>-1.95E-2</v>
      </c>
      <c r="U642">
        <v>-2.3999999999999998E-3</v>
      </c>
      <c r="CI642" t="s">
        <v>184</v>
      </c>
    </row>
    <row r="643" spans="1:87" x14ac:dyDescent="0.45">
      <c r="A643" t="s">
        <v>24</v>
      </c>
      <c r="B643" t="s">
        <v>2</v>
      </c>
      <c r="C643" t="s">
        <v>46</v>
      </c>
      <c r="D643" t="s">
        <v>185</v>
      </c>
      <c r="E643" t="s">
        <v>26</v>
      </c>
      <c r="F643">
        <v>-0.34789999999999999</v>
      </c>
      <c r="K643">
        <v>-0.25729999999999997</v>
      </c>
      <c r="P643">
        <v>-0.68799999999999994</v>
      </c>
      <c r="U643">
        <v>-0.81540000000000001</v>
      </c>
      <c r="Z643">
        <v>-0.56799999999999995</v>
      </c>
      <c r="AE643">
        <v>-0.28270000000000001</v>
      </c>
      <c r="CI643" t="s">
        <v>185</v>
      </c>
    </row>
    <row r="644" spans="1:87" x14ac:dyDescent="0.45">
      <c r="A644" t="s">
        <v>24</v>
      </c>
      <c r="B644" t="s">
        <v>2</v>
      </c>
      <c r="C644" t="s">
        <v>46</v>
      </c>
      <c r="D644" t="s">
        <v>186</v>
      </c>
      <c r="E644" t="s">
        <v>26</v>
      </c>
      <c r="F644">
        <v>-0.35320000000000001</v>
      </c>
      <c r="K644">
        <v>-0.65439999999999998</v>
      </c>
      <c r="P644">
        <v>-0.52300000000000002</v>
      </c>
      <c r="U644">
        <v>-0.40600000000000003</v>
      </c>
      <c r="Z644">
        <v>-0.27010000000000001</v>
      </c>
      <c r="AE644">
        <v>-0.1532</v>
      </c>
      <c r="CI644" t="s">
        <v>186</v>
      </c>
    </row>
    <row r="645" spans="1:87" x14ac:dyDescent="0.45">
      <c r="A645" t="s">
        <v>24</v>
      </c>
      <c r="B645" t="s">
        <v>2</v>
      </c>
      <c r="C645" t="s">
        <v>46</v>
      </c>
      <c r="D645" t="s">
        <v>187</v>
      </c>
      <c r="E645" t="s">
        <v>26</v>
      </c>
      <c r="F645">
        <v>0</v>
      </c>
      <c r="K645">
        <v>0</v>
      </c>
      <c r="P645">
        <v>-1.2816000000000001</v>
      </c>
      <c r="U645">
        <v>-1.2668999999999999</v>
      </c>
      <c r="Z645">
        <v>-1.4649000000000001</v>
      </c>
      <c r="AE645">
        <v>-1.1306</v>
      </c>
      <c r="AJ645">
        <v>-0.6109</v>
      </c>
      <c r="CI645" t="s">
        <v>187</v>
      </c>
    </row>
    <row r="646" spans="1:87" x14ac:dyDescent="0.45">
      <c r="A646" t="s">
        <v>24</v>
      </c>
      <c r="B646" t="s">
        <v>2</v>
      </c>
      <c r="C646" t="s">
        <v>46</v>
      </c>
      <c r="D646" t="s">
        <v>188</v>
      </c>
      <c r="E646" t="s">
        <v>26</v>
      </c>
      <c r="F646">
        <v>0</v>
      </c>
      <c r="K646">
        <v>0</v>
      </c>
      <c r="P646">
        <v>0</v>
      </c>
      <c r="U646">
        <v>0.30690000000000001</v>
      </c>
      <c r="Z646">
        <v>0.43319999999999997</v>
      </c>
      <c r="AE646">
        <v>0.40429999999999999</v>
      </c>
      <c r="AJ646">
        <v>0.27060000000000001</v>
      </c>
      <c r="CI646" t="s">
        <v>188</v>
      </c>
    </row>
    <row r="647" spans="1:87" x14ac:dyDescent="0.45">
      <c r="A647" t="s">
        <v>24</v>
      </c>
      <c r="B647" t="s">
        <v>2</v>
      </c>
      <c r="C647" t="s">
        <v>46</v>
      </c>
      <c r="D647" t="s">
        <v>189</v>
      </c>
      <c r="E647" t="s">
        <v>26</v>
      </c>
      <c r="F647">
        <v>-0.32550000000000001</v>
      </c>
      <c r="K647">
        <v>-0.52510000000000001</v>
      </c>
      <c r="P647">
        <v>-0.75960000000000005</v>
      </c>
      <c r="U647">
        <v>-0.33150000000000002</v>
      </c>
      <c r="Z647">
        <v>-1.1000000000000001E-3</v>
      </c>
      <c r="AE647">
        <v>0</v>
      </c>
      <c r="AJ647">
        <v>0</v>
      </c>
      <c r="CI647" t="s">
        <v>189</v>
      </c>
    </row>
    <row r="648" spans="1:87" x14ac:dyDescent="0.45">
      <c r="A648" t="s">
        <v>24</v>
      </c>
      <c r="B648" t="s">
        <v>2</v>
      </c>
      <c r="C648" t="s">
        <v>46</v>
      </c>
      <c r="D648" t="s">
        <v>190</v>
      </c>
      <c r="E648" t="s">
        <v>26</v>
      </c>
      <c r="F648">
        <v>-8.5927000000000007</v>
      </c>
      <c r="K648">
        <v>-6.6718000000000002</v>
      </c>
      <c r="P648">
        <v>-6.5175000000000001</v>
      </c>
      <c r="U648">
        <v>-4.8930999999999996</v>
      </c>
      <c r="Z648">
        <v>-4.9352</v>
      </c>
      <c r="AE648">
        <v>-5.1790000000000003</v>
      </c>
      <c r="AJ648">
        <v>-5.2240000000000002</v>
      </c>
      <c r="CI648" t="s">
        <v>190</v>
      </c>
    </row>
    <row r="649" spans="1:87" x14ac:dyDescent="0.45">
      <c r="A649" t="s">
        <v>24</v>
      </c>
      <c r="B649" t="s">
        <v>2</v>
      </c>
      <c r="C649" t="s">
        <v>46</v>
      </c>
      <c r="D649" t="s">
        <v>191</v>
      </c>
      <c r="E649" t="s">
        <v>26</v>
      </c>
      <c r="F649">
        <v>68.188799890625731</v>
      </c>
      <c r="K649">
        <v>68.522944934194612</v>
      </c>
      <c r="P649">
        <v>66.862958723992591</v>
      </c>
      <c r="U649">
        <v>71.666320264370952</v>
      </c>
      <c r="Z649">
        <v>68.45112003644536</v>
      </c>
      <c r="AE649">
        <v>66.427615031160528</v>
      </c>
      <c r="AJ649">
        <v>64.729069999883649</v>
      </c>
      <c r="CI649" t="s">
        <v>191</v>
      </c>
    </row>
    <row r="650" spans="1:87" x14ac:dyDescent="0.45">
      <c r="A650" t="s">
        <v>24</v>
      </c>
      <c r="B650" t="s">
        <v>2</v>
      </c>
      <c r="C650" t="s">
        <v>46</v>
      </c>
      <c r="D650" t="s">
        <v>192</v>
      </c>
      <c r="E650" t="s">
        <v>26</v>
      </c>
      <c r="F650">
        <v>14.844344899003049</v>
      </c>
      <c r="K650">
        <v>13.613555272486231</v>
      </c>
      <c r="P650">
        <v>15.23287021730528</v>
      </c>
      <c r="U650">
        <v>15.87784999581328</v>
      </c>
      <c r="Z650">
        <v>14.789089996083501</v>
      </c>
      <c r="AE650">
        <v>13.916535008084651</v>
      </c>
      <c r="AJ650">
        <v>13.2207400001684</v>
      </c>
      <c r="CI650" t="s">
        <v>192</v>
      </c>
    </row>
    <row r="651" spans="1:87" x14ac:dyDescent="0.45">
      <c r="A651" t="s">
        <v>24</v>
      </c>
      <c r="B651" t="s">
        <v>2</v>
      </c>
      <c r="C651" t="s">
        <v>46</v>
      </c>
      <c r="D651" t="s">
        <v>193</v>
      </c>
      <c r="E651" t="s">
        <v>26</v>
      </c>
      <c r="F651">
        <v>2.4440400014248098</v>
      </c>
      <c r="K651">
        <v>2.488920003242336</v>
      </c>
      <c r="P651">
        <v>2.5712399885753041</v>
      </c>
      <c r="U651">
        <v>2.713200001861928</v>
      </c>
      <c r="Z651">
        <v>2.8141199980656491</v>
      </c>
      <c r="AE651">
        <v>2.9009999991105491</v>
      </c>
      <c r="AJ651">
        <v>2.961359999991215</v>
      </c>
      <c r="CI651" t="s">
        <v>193</v>
      </c>
    </row>
    <row r="652" spans="1:87" x14ac:dyDescent="0.45">
      <c r="A652" t="s">
        <v>24</v>
      </c>
      <c r="B652" t="s">
        <v>2</v>
      </c>
      <c r="C652" t="s">
        <v>46</v>
      </c>
      <c r="D652" t="s">
        <v>194</v>
      </c>
      <c r="E652" t="s">
        <v>26</v>
      </c>
      <c r="F652">
        <v>6.6413548552186512</v>
      </c>
      <c r="K652">
        <v>4.5978452086698667</v>
      </c>
      <c r="P652">
        <v>4.6557001261841151</v>
      </c>
      <c r="U652">
        <v>4.2014699990851732</v>
      </c>
      <c r="Z652">
        <v>3.4988100188786571</v>
      </c>
      <c r="AE652">
        <v>3.1687949997471598</v>
      </c>
      <c r="AJ652">
        <v>2.84445000012688</v>
      </c>
      <c r="CI652" t="s">
        <v>194</v>
      </c>
    </row>
    <row r="653" spans="1:87" x14ac:dyDescent="0.45">
      <c r="A653" t="s">
        <v>24</v>
      </c>
      <c r="B653" t="s">
        <v>2</v>
      </c>
      <c r="C653" t="s">
        <v>46</v>
      </c>
      <c r="D653" t="s">
        <v>195</v>
      </c>
      <c r="E653" t="s">
        <v>26</v>
      </c>
      <c r="F653">
        <v>1.177266995000537E-8</v>
      </c>
      <c r="K653">
        <v>0.1121999996306515</v>
      </c>
      <c r="P653">
        <v>0.27852000509629521</v>
      </c>
      <c r="U653">
        <v>0.41964999916698531</v>
      </c>
      <c r="Z653">
        <v>0.73347999426073329</v>
      </c>
      <c r="AE653">
        <v>0.83204000454010085</v>
      </c>
      <c r="AJ653">
        <v>0.82368000000545938</v>
      </c>
      <c r="CI653" t="s">
        <v>195</v>
      </c>
    </row>
    <row r="654" spans="1:87" x14ac:dyDescent="0.45">
      <c r="A654" t="s">
        <v>24</v>
      </c>
      <c r="B654" t="s">
        <v>2</v>
      </c>
      <c r="C654" t="s">
        <v>46</v>
      </c>
      <c r="D654" t="s">
        <v>196</v>
      </c>
      <c r="E654" t="s">
        <v>26</v>
      </c>
      <c r="F654">
        <v>3.2106584058055892E-10</v>
      </c>
      <c r="K654">
        <v>8.2609995936631098E-2</v>
      </c>
      <c r="P654">
        <v>0.1219900095283588</v>
      </c>
      <c r="U654">
        <v>0.1205599999880009</v>
      </c>
      <c r="Z654">
        <v>0.1181399999735481</v>
      </c>
      <c r="AE654">
        <v>0.115059999995066</v>
      </c>
      <c r="AJ654">
        <v>0.111650000000904</v>
      </c>
      <c r="CI654" t="s">
        <v>196</v>
      </c>
    </row>
    <row r="655" spans="1:87" x14ac:dyDescent="0.45">
      <c r="A655" t="s">
        <v>24</v>
      </c>
      <c r="B655" t="s">
        <v>2</v>
      </c>
      <c r="C655" t="s">
        <v>46</v>
      </c>
      <c r="D655" t="s">
        <v>197</v>
      </c>
      <c r="E655" t="s">
        <v>26</v>
      </c>
      <c r="F655">
        <v>4.8432000746813628</v>
      </c>
      <c r="K655">
        <v>5.1411000742190964</v>
      </c>
      <c r="P655">
        <v>6.2403001055557468</v>
      </c>
      <c r="U655">
        <v>6.8080999995450213</v>
      </c>
      <c r="Z655">
        <v>6.7887999443669287</v>
      </c>
      <c r="AE655">
        <v>6.0981000047655174</v>
      </c>
      <c r="AJ655">
        <v>5.7173000000331307</v>
      </c>
      <c r="CI655" t="s">
        <v>197</v>
      </c>
    </row>
    <row r="656" spans="1:87" x14ac:dyDescent="0.45">
      <c r="A656" t="s">
        <v>24</v>
      </c>
      <c r="B656" t="s">
        <v>2</v>
      </c>
      <c r="C656" t="s">
        <v>46</v>
      </c>
      <c r="D656" t="s">
        <v>198</v>
      </c>
      <c r="E656" t="s">
        <v>26</v>
      </c>
      <c r="F656">
        <v>0.91574995558448802</v>
      </c>
      <c r="K656">
        <v>1.1908799907876459</v>
      </c>
      <c r="P656">
        <v>1.3651199823654601</v>
      </c>
      <c r="U656">
        <v>1.6148699961661781</v>
      </c>
      <c r="Z656">
        <v>0.8357400405379849</v>
      </c>
      <c r="AE656">
        <v>0.80153999992625713</v>
      </c>
      <c r="AJ656">
        <v>0.76230000001081388</v>
      </c>
      <c r="CI656" t="s">
        <v>198</v>
      </c>
    </row>
    <row r="657" spans="1:87" x14ac:dyDescent="0.45">
      <c r="A657" t="s">
        <v>24</v>
      </c>
      <c r="B657" t="s">
        <v>2</v>
      </c>
      <c r="C657" t="s">
        <v>46</v>
      </c>
      <c r="D657" t="s">
        <v>199</v>
      </c>
      <c r="E657" t="s">
        <v>26</v>
      </c>
      <c r="F657">
        <v>27.894454985508229</v>
      </c>
      <c r="K657">
        <v>28.678289923037489</v>
      </c>
      <c r="P657">
        <v>28.936690093244579</v>
      </c>
      <c r="U657">
        <v>28.949869948528011</v>
      </c>
      <c r="Z657">
        <v>27.8952300765676</v>
      </c>
      <c r="AE657">
        <v>27.967980013365931</v>
      </c>
      <c r="AJ657">
        <v>28.059529999995199</v>
      </c>
      <c r="CI657" t="s">
        <v>199</v>
      </c>
    </row>
    <row r="658" spans="1:87" x14ac:dyDescent="0.45">
      <c r="A658" t="s">
        <v>24</v>
      </c>
      <c r="B658" t="s">
        <v>2</v>
      </c>
      <c r="C658" t="s">
        <v>46</v>
      </c>
      <c r="D658" t="s">
        <v>200</v>
      </c>
      <c r="E658" t="s">
        <v>26</v>
      </c>
      <c r="F658">
        <v>17.685750000971311</v>
      </c>
      <c r="K658">
        <v>19.54589987497334</v>
      </c>
      <c r="P658">
        <v>19.72934973617981</v>
      </c>
      <c r="U658">
        <v>21.158549962461141</v>
      </c>
      <c r="Z658">
        <v>21.0045000395221</v>
      </c>
      <c r="AE658">
        <v>21.325500005938601</v>
      </c>
      <c r="AJ658">
        <v>21.49154999999508</v>
      </c>
      <c r="CI658" t="s">
        <v>200</v>
      </c>
    </row>
    <row r="659" spans="1:87" x14ac:dyDescent="0.45">
      <c r="A659" t="s">
        <v>24</v>
      </c>
      <c r="B659" t="s">
        <v>2</v>
      </c>
      <c r="C659" t="s">
        <v>46</v>
      </c>
      <c r="D659" t="s">
        <v>201</v>
      </c>
      <c r="E659" t="s">
        <v>26</v>
      </c>
      <c r="F659">
        <v>6.7516049989599551</v>
      </c>
      <c r="K659">
        <v>5.7065400071623742</v>
      </c>
      <c r="P659">
        <v>5.0620498317620388</v>
      </c>
      <c r="U659">
        <v>5.0805299925199714</v>
      </c>
      <c r="Z659">
        <v>5.6139299597580248</v>
      </c>
      <c r="AE659">
        <v>5.5162799994441674</v>
      </c>
      <c r="AJ659">
        <v>5.4574800000021249</v>
      </c>
      <c r="CI659" t="s">
        <v>201</v>
      </c>
    </row>
    <row r="660" spans="1:87" x14ac:dyDescent="0.45">
      <c r="A660" t="s">
        <v>24</v>
      </c>
      <c r="B660" t="s">
        <v>2</v>
      </c>
      <c r="C660" t="s">
        <v>46</v>
      </c>
      <c r="D660" t="s">
        <v>202</v>
      </c>
      <c r="E660" t="s">
        <v>26</v>
      </c>
      <c r="F660">
        <v>0.4004000060959072</v>
      </c>
      <c r="K660">
        <v>0.32064998674731621</v>
      </c>
      <c r="P660">
        <v>0.14068995665209619</v>
      </c>
      <c r="U660">
        <v>0.14618999714378761</v>
      </c>
      <c r="Z660">
        <v>1.157047790911747E-8</v>
      </c>
      <c r="AE660">
        <v>0</v>
      </c>
      <c r="AJ660">
        <v>0</v>
      </c>
      <c r="CI660" t="s">
        <v>202</v>
      </c>
    </row>
    <row r="661" spans="1:87" x14ac:dyDescent="0.45">
      <c r="A661" t="s">
        <v>24</v>
      </c>
      <c r="B661" t="s">
        <v>2</v>
      </c>
      <c r="C661" t="s">
        <v>46</v>
      </c>
      <c r="D661" t="s">
        <v>203</v>
      </c>
      <c r="E661" t="s">
        <v>26</v>
      </c>
      <c r="F661">
        <v>3.0566999786331048</v>
      </c>
      <c r="K661">
        <v>3.105200054154452</v>
      </c>
      <c r="P661">
        <v>4.0046005686506314</v>
      </c>
      <c r="U661">
        <v>2.5645999964031141</v>
      </c>
      <c r="Z661">
        <v>1.276800065716998</v>
      </c>
      <c r="AE661">
        <v>1.1262000079831631</v>
      </c>
      <c r="AJ661">
        <v>1.1104999999979961</v>
      </c>
      <c r="CI661" t="s">
        <v>203</v>
      </c>
    </row>
    <row r="662" spans="1:87" x14ac:dyDescent="0.45">
      <c r="A662" t="s">
        <v>24</v>
      </c>
      <c r="B662" t="s">
        <v>2</v>
      </c>
      <c r="C662" t="s">
        <v>46</v>
      </c>
      <c r="D662" t="s">
        <v>204</v>
      </c>
      <c r="E662" t="s">
        <v>26</v>
      </c>
      <c r="F662">
        <v>8.4795104271506716E-10</v>
      </c>
      <c r="K662">
        <v>0</v>
      </c>
      <c r="P662">
        <v>0</v>
      </c>
      <c r="U662">
        <v>0</v>
      </c>
      <c r="Z662">
        <v>0</v>
      </c>
      <c r="AE662">
        <v>0</v>
      </c>
      <c r="AJ662">
        <v>0</v>
      </c>
      <c r="CI662" t="s">
        <v>204</v>
      </c>
    </row>
    <row r="663" spans="1:87" x14ac:dyDescent="0.45">
      <c r="A663" t="s">
        <v>24</v>
      </c>
      <c r="B663" t="s">
        <v>2</v>
      </c>
      <c r="C663" t="s">
        <v>46</v>
      </c>
      <c r="D663" t="s">
        <v>205</v>
      </c>
      <c r="E663" t="s">
        <v>26</v>
      </c>
      <c r="F663">
        <v>25.45000000611445</v>
      </c>
      <c r="K663">
        <v>26.231099738670899</v>
      </c>
      <c r="P663">
        <v>22.69339841344274</v>
      </c>
      <c r="U663">
        <v>26.838600320029659</v>
      </c>
      <c r="Z663">
        <v>25.766799963794259</v>
      </c>
      <c r="AE663">
        <v>24.543100009709949</v>
      </c>
      <c r="AJ663">
        <v>23.448799999720041</v>
      </c>
      <c r="CI663" t="s">
        <v>205</v>
      </c>
    </row>
    <row r="664" spans="1:87" x14ac:dyDescent="0.45">
      <c r="A664" t="s">
        <v>24</v>
      </c>
      <c r="B664" t="s">
        <v>2</v>
      </c>
      <c r="C664" t="s">
        <v>46</v>
      </c>
      <c r="D664" t="s">
        <v>206</v>
      </c>
      <c r="E664" t="s">
        <v>26</v>
      </c>
      <c r="F664">
        <v>9.3199998343592896E-2</v>
      </c>
      <c r="K664">
        <v>8.4800023227408802E-2</v>
      </c>
      <c r="P664">
        <v>0.59519989958354813</v>
      </c>
      <c r="U664">
        <v>1.5304000010794709</v>
      </c>
      <c r="Z664">
        <v>3.157600034920506</v>
      </c>
      <c r="AE664">
        <v>5.9428000141027191</v>
      </c>
      <c r="AJ664">
        <v>9.0381999992892688</v>
      </c>
      <c r="CI664" t="s">
        <v>206</v>
      </c>
    </row>
    <row r="665" spans="1:87" x14ac:dyDescent="0.45">
      <c r="A665" t="s">
        <v>24</v>
      </c>
      <c r="B665" t="s">
        <v>2</v>
      </c>
      <c r="C665" t="s">
        <v>46</v>
      </c>
      <c r="D665" t="s">
        <v>207</v>
      </c>
      <c r="E665" t="s">
        <v>26</v>
      </c>
      <c r="F665">
        <v>7.7437789514078759E-9</v>
      </c>
      <c r="K665">
        <v>0</v>
      </c>
      <c r="P665">
        <v>0</v>
      </c>
      <c r="U665">
        <v>0</v>
      </c>
      <c r="Z665">
        <v>0</v>
      </c>
      <c r="AE665">
        <v>0</v>
      </c>
      <c r="AJ665">
        <v>0</v>
      </c>
      <c r="CI665" t="s">
        <v>207</v>
      </c>
    </row>
    <row r="666" spans="1:87" x14ac:dyDescent="0.45">
      <c r="A666" t="s">
        <v>24</v>
      </c>
      <c r="B666" t="s">
        <v>2</v>
      </c>
      <c r="C666" t="s">
        <v>46</v>
      </c>
      <c r="D666" t="s">
        <v>208</v>
      </c>
      <c r="E666" t="s">
        <v>26</v>
      </c>
      <c r="F666">
        <v>25.356800000027079</v>
      </c>
      <c r="K666">
        <v>26.14629971544349</v>
      </c>
      <c r="P666">
        <v>22.098198513859192</v>
      </c>
      <c r="U666">
        <v>25.308200318950181</v>
      </c>
      <c r="Z666">
        <v>22.60919992887375</v>
      </c>
      <c r="AE666">
        <v>18.60029999560723</v>
      </c>
      <c r="AJ666">
        <v>14.410600000430779</v>
      </c>
      <c r="CI666" t="s">
        <v>208</v>
      </c>
    </row>
    <row r="667" spans="1:87" x14ac:dyDescent="0.45">
      <c r="A667" t="s">
        <v>24</v>
      </c>
      <c r="B667" t="s">
        <v>1</v>
      </c>
      <c r="C667" t="s">
        <v>46</v>
      </c>
      <c r="D667" t="s">
        <v>59</v>
      </c>
      <c r="E667" t="s">
        <v>48</v>
      </c>
      <c r="F667">
        <v>0</v>
      </c>
      <c r="K667">
        <v>0</v>
      </c>
      <c r="P667">
        <v>3.8986999999999998</v>
      </c>
      <c r="U667">
        <v>10.3299</v>
      </c>
      <c r="Z667">
        <v>15.660500000000001</v>
      </c>
      <c r="AE667">
        <v>25.938300000000002</v>
      </c>
      <c r="AJ667">
        <v>41.938699999999997</v>
      </c>
      <c r="CI667" t="s">
        <v>59</v>
      </c>
    </row>
    <row r="668" spans="1:87" x14ac:dyDescent="0.45">
      <c r="A668" t="s">
        <v>24</v>
      </c>
      <c r="B668" t="s">
        <v>1</v>
      </c>
      <c r="C668" t="s">
        <v>46</v>
      </c>
      <c r="D668" t="s">
        <v>60</v>
      </c>
      <c r="E668" t="s">
        <v>48</v>
      </c>
      <c r="F668">
        <v>0</v>
      </c>
      <c r="K668">
        <v>0</v>
      </c>
      <c r="P668">
        <v>122.3655</v>
      </c>
      <c r="U668">
        <v>155.6251</v>
      </c>
      <c r="Z668">
        <v>127.64879999999999</v>
      </c>
      <c r="AE668">
        <v>223.09780000000001</v>
      </c>
      <c r="AJ668">
        <v>177.86170000000001</v>
      </c>
      <c r="CI668" t="s">
        <v>60</v>
      </c>
    </row>
    <row r="669" spans="1:87" x14ac:dyDescent="0.45">
      <c r="A669" t="s">
        <v>24</v>
      </c>
      <c r="B669" t="s">
        <v>1</v>
      </c>
      <c r="C669" t="s">
        <v>46</v>
      </c>
      <c r="D669" t="s">
        <v>61</v>
      </c>
      <c r="E669" t="s">
        <v>48</v>
      </c>
      <c r="F669">
        <v>0</v>
      </c>
      <c r="K669">
        <v>0</v>
      </c>
      <c r="P669">
        <v>86.963200000000001</v>
      </c>
      <c r="U669">
        <v>78.301599999999993</v>
      </c>
      <c r="Z669">
        <v>79.056799999999996</v>
      </c>
      <c r="AE669">
        <v>75.732799999999997</v>
      </c>
      <c r="AJ669">
        <v>75.227999999999994</v>
      </c>
      <c r="CI669" t="s">
        <v>61</v>
      </c>
    </row>
    <row r="670" spans="1:87" x14ac:dyDescent="0.45">
      <c r="A670" t="s">
        <v>24</v>
      </c>
      <c r="B670" t="s">
        <v>1</v>
      </c>
      <c r="C670" t="s">
        <v>46</v>
      </c>
      <c r="D670" t="s">
        <v>62</v>
      </c>
      <c r="E670" t="s">
        <v>48</v>
      </c>
      <c r="F670">
        <v>164.1686</v>
      </c>
      <c r="K670">
        <v>148.76580000000001</v>
      </c>
      <c r="P670">
        <v>120.29949999999999</v>
      </c>
      <c r="U670">
        <v>83.739199999999997</v>
      </c>
      <c r="Z670">
        <v>43.900199999999998</v>
      </c>
      <c r="AE670">
        <v>28.911200000000001</v>
      </c>
      <c r="AJ670">
        <v>14.061500000000001</v>
      </c>
      <c r="CI670" t="s">
        <v>62</v>
      </c>
    </row>
    <row r="671" spans="1:87" x14ac:dyDescent="0.45">
      <c r="A671" t="s">
        <v>24</v>
      </c>
      <c r="B671" t="s">
        <v>1</v>
      </c>
      <c r="C671" t="s">
        <v>46</v>
      </c>
      <c r="D671" t="s">
        <v>63</v>
      </c>
      <c r="E671" t="s">
        <v>48</v>
      </c>
      <c r="F671">
        <v>-1429.8635999999999</v>
      </c>
      <c r="K671">
        <v>-1483.2371000000001</v>
      </c>
      <c r="P671">
        <v>-1647.2886000000001</v>
      </c>
      <c r="U671">
        <v>-1605.0006000000001</v>
      </c>
      <c r="Z671">
        <v>-1568.5032000000001</v>
      </c>
      <c r="AE671">
        <v>-1530.9353000000001</v>
      </c>
      <c r="AJ671">
        <v>-1494.1832999999999</v>
      </c>
      <c r="CI671" t="s">
        <v>63</v>
      </c>
    </row>
    <row r="672" spans="1:87" x14ac:dyDescent="0.45">
      <c r="A672" t="s">
        <v>24</v>
      </c>
      <c r="B672" t="s">
        <v>1</v>
      </c>
      <c r="C672" t="s">
        <v>46</v>
      </c>
      <c r="D672" t="s">
        <v>64</v>
      </c>
      <c r="E672" t="s">
        <v>48</v>
      </c>
      <c r="F672">
        <v>-534.70759999999996</v>
      </c>
      <c r="K672">
        <v>-588.17830000000004</v>
      </c>
      <c r="P672">
        <v>-641.64909999999998</v>
      </c>
      <c r="U672">
        <v>-561.44290000000001</v>
      </c>
      <c r="Z672">
        <v>-481.23680000000002</v>
      </c>
      <c r="AE672">
        <v>-401.03070000000002</v>
      </c>
      <c r="AJ672">
        <v>-320.8245</v>
      </c>
      <c r="CI672" t="s">
        <v>64</v>
      </c>
    </row>
    <row r="673" spans="1:87" x14ac:dyDescent="0.45">
      <c r="A673" t="s">
        <v>24</v>
      </c>
      <c r="B673" t="s">
        <v>1</v>
      </c>
      <c r="C673" t="s">
        <v>46</v>
      </c>
      <c r="D673" t="s">
        <v>65</v>
      </c>
      <c r="E673" t="s">
        <v>66</v>
      </c>
      <c r="F673">
        <v>4727.4192000000003</v>
      </c>
      <c r="K673">
        <v>3977.0297999999998</v>
      </c>
      <c r="P673">
        <v>1903.5805</v>
      </c>
      <c r="U673">
        <v>966.64239999999995</v>
      </c>
      <c r="Z673">
        <v>468.21190000000001</v>
      </c>
      <c r="AE673">
        <v>-66.828599999999994</v>
      </c>
      <c r="AJ673">
        <v>-475.80489999999998</v>
      </c>
      <c r="CI673" t="s">
        <v>65</v>
      </c>
    </row>
    <row r="674" spans="1:87" x14ac:dyDescent="0.45">
      <c r="A674" t="s">
        <v>24</v>
      </c>
      <c r="B674" t="s">
        <v>1</v>
      </c>
      <c r="C674" t="s">
        <v>46</v>
      </c>
      <c r="D674" t="s">
        <v>67</v>
      </c>
      <c r="E674" t="s">
        <v>66</v>
      </c>
      <c r="F674">
        <v>1230.5565999999999</v>
      </c>
      <c r="K674">
        <v>966.24599999999998</v>
      </c>
      <c r="P674">
        <v>869.75390000000004</v>
      </c>
      <c r="U674">
        <v>715.14819999999997</v>
      </c>
      <c r="Z674">
        <v>660.89980000000003</v>
      </c>
      <c r="AE674">
        <v>564.08180000000004</v>
      </c>
      <c r="AJ674">
        <v>470.07330000000002</v>
      </c>
      <c r="CI674" t="s">
        <v>67</v>
      </c>
    </row>
    <row r="675" spans="1:87" x14ac:dyDescent="0.45">
      <c r="A675" t="s">
        <v>24</v>
      </c>
      <c r="B675" t="s">
        <v>1</v>
      </c>
      <c r="C675" t="s">
        <v>46</v>
      </c>
      <c r="D675" t="s">
        <v>68</v>
      </c>
      <c r="E675" t="s">
        <v>26</v>
      </c>
      <c r="F675">
        <v>64.578900000000004</v>
      </c>
      <c r="K675">
        <v>64.0077</v>
      </c>
      <c r="P675">
        <v>60.677700000000002</v>
      </c>
      <c r="U675">
        <v>56.641800000000003</v>
      </c>
      <c r="Z675">
        <v>53.224699999999999</v>
      </c>
      <c r="AE675">
        <v>51.1464</v>
      </c>
      <c r="AJ675">
        <v>50.183399999999999</v>
      </c>
      <c r="CI675" t="s">
        <v>68</v>
      </c>
    </row>
    <row r="676" spans="1:87" x14ac:dyDescent="0.45">
      <c r="A676" t="s">
        <v>24</v>
      </c>
      <c r="B676" t="s">
        <v>1</v>
      </c>
      <c r="C676" t="s">
        <v>46</v>
      </c>
      <c r="D676" t="s">
        <v>69</v>
      </c>
      <c r="E676" t="s">
        <v>26</v>
      </c>
      <c r="F676">
        <v>13.964600000000001</v>
      </c>
      <c r="K676">
        <v>15.2719</v>
      </c>
      <c r="P676">
        <v>16.877500000000001</v>
      </c>
      <c r="U676">
        <v>19.092600000000001</v>
      </c>
      <c r="Z676">
        <v>21.2697</v>
      </c>
      <c r="AE676">
        <v>23.715199999999999</v>
      </c>
      <c r="AJ676">
        <v>26.735700000000001</v>
      </c>
      <c r="CI676" t="s">
        <v>69</v>
      </c>
    </row>
    <row r="677" spans="1:87" x14ac:dyDescent="0.45">
      <c r="A677" t="s">
        <v>24</v>
      </c>
      <c r="B677" t="s">
        <v>1</v>
      </c>
      <c r="C677" t="s">
        <v>46</v>
      </c>
      <c r="D677" t="s">
        <v>70</v>
      </c>
      <c r="E677" t="s">
        <v>26</v>
      </c>
      <c r="F677">
        <v>12.8127</v>
      </c>
      <c r="K677">
        <v>9.9156999999999993</v>
      </c>
      <c r="P677">
        <v>9.4867000000000008</v>
      </c>
      <c r="U677">
        <v>9.3093000000000004</v>
      </c>
      <c r="Z677">
        <v>8.8498000000000001</v>
      </c>
      <c r="AE677">
        <v>7.3333000000000004</v>
      </c>
      <c r="AJ677">
        <v>5.6555</v>
      </c>
      <c r="CI677" t="s">
        <v>70</v>
      </c>
    </row>
    <row r="678" spans="1:87" x14ac:dyDescent="0.45">
      <c r="A678" t="s">
        <v>24</v>
      </c>
      <c r="B678" t="s">
        <v>1</v>
      </c>
      <c r="C678" t="s">
        <v>46</v>
      </c>
      <c r="D678" t="s">
        <v>71</v>
      </c>
      <c r="E678" t="s">
        <v>26</v>
      </c>
      <c r="F678">
        <v>0.36399999999999999</v>
      </c>
      <c r="K678">
        <v>0.39439999999999997</v>
      </c>
      <c r="P678">
        <v>0.6966</v>
      </c>
      <c r="U678">
        <v>0.55389999999999995</v>
      </c>
      <c r="Z678">
        <v>0.2888</v>
      </c>
      <c r="AE678">
        <v>0.20300000000000001</v>
      </c>
      <c r="AJ678">
        <v>0.27439999999999998</v>
      </c>
      <c r="CI678" t="s">
        <v>71</v>
      </c>
    </row>
    <row r="679" spans="1:87" x14ac:dyDescent="0.45">
      <c r="A679" t="s">
        <v>24</v>
      </c>
      <c r="B679" t="s">
        <v>1</v>
      </c>
      <c r="C679" t="s">
        <v>46</v>
      </c>
      <c r="D679" t="s">
        <v>72</v>
      </c>
      <c r="E679" t="s">
        <v>26</v>
      </c>
      <c r="F679">
        <v>0</v>
      </c>
      <c r="K679">
        <v>7.6300000000000007E-2</v>
      </c>
      <c r="P679">
        <v>0.1769</v>
      </c>
      <c r="U679">
        <v>0.23730000000000001</v>
      </c>
      <c r="Z679">
        <v>0.25380000000000003</v>
      </c>
      <c r="AE679">
        <v>0.38900000000000001</v>
      </c>
      <c r="AJ679">
        <v>0.74009999999999998</v>
      </c>
      <c r="CI679" t="s">
        <v>72</v>
      </c>
    </row>
    <row r="680" spans="1:87" x14ac:dyDescent="0.45">
      <c r="A680" t="s">
        <v>24</v>
      </c>
      <c r="B680" t="s">
        <v>1</v>
      </c>
      <c r="C680" t="s">
        <v>46</v>
      </c>
      <c r="D680" t="s">
        <v>73</v>
      </c>
      <c r="E680" t="s">
        <v>26</v>
      </c>
      <c r="F680">
        <v>14.7935</v>
      </c>
      <c r="K680">
        <v>13.8864</v>
      </c>
      <c r="P680">
        <v>15.8978</v>
      </c>
      <c r="U680">
        <v>15.4251</v>
      </c>
      <c r="Z680">
        <v>14.7925</v>
      </c>
      <c r="AE680">
        <v>14.7805</v>
      </c>
      <c r="AJ680">
        <v>14.602600000000001</v>
      </c>
      <c r="CI680" t="s">
        <v>73</v>
      </c>
    </row>
    <row r="681" spans="1:87" x14ac:dyDescent="0.45">
      <c r="A681" t="s">
        <v>24</v>
      </c>
      <c r="B681" t="s">
        <v>1</v>
      </c>
      <c r="C681" t="s">
        <v>46</v>
      </c>
      <c r="D681" t="s">
        <v>74</v>
      </c>
      <c r="E681" t="s">
        <v>26</v>
      </c>
      <c r="F681">
        <v>6.3552999999999997</v>
      </c>
      <c r="K681">
        <v>4.4301000000000004</v>
      </c>
      <c r="P681">
        <v>5.2037000000000004</v>
      </c>
      <c r="U681">
        <v>5.4104999999999999</v>
      </c>
      <c r="Z681">
        <v>4.9275000000000002</v>
      </c>
      <c r="AE681">
        <v>4.8970000000000002</v>
      </c>
      <c r="AJ681">
        <v>4.859</v>
      </c>
      <c r="CI681" t="s">
        <v>74</v>
      </c>
    </row>
    <row r="682" spans="1:87" x14ac:dyDescent="0.45">
      <c r="A682" t="s">
        <v>24</v>
      </c>
      <c r="B682" t="s">
        <v>1</v>
      </c>
      <c r="C682" t="s">
        <v>46</v>
      </c>
      <c r="D682" t="s">
        <v>75</v>
      </c>
      <c r="E682" t="s">
        <v>26</v>
      </c>
      <c r="F682">
        <v>0</v>
      </c>
      <c r="K682">
        <v>0.10290000000000001</v>
      </c>
      <c r="P682">
        <v>0.28310000000000002</v>
      </c>
      <c r="U682">
        <v>0.52</v>
      </c>
      <c r="Z682">
        <v>0.2888</v>
      </c>
      <c r="AE682">
        <v>0.20300000000000001</v>
      </c>
      <c r="AJ682">
        <v>0.27439999999999998</v>
      </c>
      <c r="CI682" t="s">
        <v>75</v>
      </c>
    </row>
    <row r="683" spans="1:87" x14ac:dyDescent="0.45">
      <c r="A683" t="s">
        <v>24</v>
      </c>
      <c r="B683" t="s">
        <v>1</v>
      </c>
      <c r="C683" t="s">
        <v>46</v>
      </c>
      <c r="D683" t="s">
        <v>76</v>
      </c>
      <c r="E683" t="s">
        <v>26</v>
      </c>
      <c r="F683">
        <v>0</v>
      </c>
      <c r="K683">
        <v>7.6300000000000007E-2</v>
      </c>
      <c r="P683">
        <v>0.1769</v>
      </c>
      <c r="U683">
        <v>0.23730000000000001</v>
      </c>
      <c r="Z683">
        <v>0.25380000000000003</v>
      </c>
      <c r="AE683">
        <v>0.38900000000000001</v>
      </c>
      <c r="AJ683">
        <v>0.74009999999999998</v>
      </c>
      <c r="CI683" t="s">
        <v>76</v>
      </c>
    </row>
    <row r="684" spans="1:87" x14ac:dyDescent="0.45">
      <c r="A684" t="s">
        <v>24</v>
      </c>
      <c r="B684" t="s">
        <v>1</v>
      </c>
      <c r="C684" t="s">
        <v>46</v>
      </c>
      <c r="D684" t="s">
        <v>77</v>
      </c>
      <c r="E684" t="s">
        <v>26</v>
      </c>
      <c r="F684">
        <v>4.835</v>
      </c>
      <c r="K684">
        <v>5.1601999999999997</v>
      </c>
      <c r="P684">
        <v>7.0865</v>
      </c>
      <c r="U684">
        <v>6.7530000000000001</v>
      </c>
      <c r="Z684">
        <v>6.7911000000000001</v>
      </c>
      <c r="AE684">
        <v>6.9794</v>
      </c>
      <c r="AJ684">
        <v>6.83</v>
      </c>
      <c r="CI684" t="s">
        <v>77</v>
      </c>
    </row>
    <row r="685" spans="1:87" x14ac:dyDescent="0.45">
      <c r="A685" t="s">
        <v>24</v>
      </c>
      <c r="B685" t="s">
        <v>1</v>
      </c>
      <c r="C685" t="s">
        <v>46</v>
      </c>
      <c r="D685" t="s">
        <v>78</v>
      </c>
      <c r="E685" t="s">
        <v>26</v>
      </c>
      <c r="F685">
        <v>0.44669999999999999</v>
      </c>
      <c r="K685">
        <v>0.50829999999999997</v>
      </c>
      <c r="P685">
        <v>1.0104</v>
      </c>
      <c r="U685">
        <v>1.0625</v>
      </c>
      <c r="Z685">
        <v>1.3214999999999999</v>
      </c>
      <c r="AE685">
        <v>1.5345</v>
      </c>
      <c r="AJ685">
        <v>1.7882</v>
      </c>
      <c r="CI685" t="s">
        <v>78</v>
      </c>
    </row>
    <row r="686" spans="1:87" x14ac:dyDescent="0.45">
      <c r="A686" t="s">
        <v>24</v>
      </c>
      <c r="B686" t="s">
        <v>1</v>
      </c>
      <c r="C686" t="s">
        <v>46</v>
      </c>
      <c r="D686" t="s">
        <v>79</v>
      </c>
      <c r="E686" t="s">
        <v>26</v>
      </c>
      <c r="F686">
        <v>4.4010999999999996</v>
      </c>
      <c r="K686">
        <v>4.6755000000000004</v>
      </c>
      <c r="P686">
        <v>6.1021999999999998</v>
      </c>
      <c r="U686">
        <v>5.7031999999999998</v>
      </c>
      <c r="Z686">
        <v>5.4893999999999998</v>
      </c>
      <c r="AE686">
        <v>5.4034000000000004</v>
      </c>
      <c r="AJ686">
        <v>5.0590000000000002</v>
      </c>
      <c r="CI686" t="s">
        <v>79</v>
      </c>
    </row>
    <row r="687" spans="1:87" x14ac:dyDescent="0.45">
      <c r="A687" t="s">
        <v>24</v>
      </c>
      <c r="B687" t="s">
        <v>1</v>
      </c>
      <c r="C687" t="s">
        <v>46</v>
      </c>
      <c r="D687" t="s">
        <v>80</v>
      </c>
      <c r="E687" t="s">
        <v>26</v>
      </c>
      <c r="F687">
        <v>0.96740000000000004</v>
      </c>
      <c r="K687">
        <v>1.2947</v>
      </c>
      <c r="P687">
        <v>1.6220000000000001</v>
      </c>
      <c r="U687">
        <v>1.0913999999999999</v>
      </c>
      <c r="Z687">
        <v>0.98419999999999996</v>
      </c>
      <c r="AE687">
        <v>0.88970000000000005</v>
      </c>
      <c r="AJ687">
        <v>0.41020000000000001</v>
      </c>
      <c r="CI687" t="s">
        <v>80</v>
      </c>
    </row>
    <row r="688" spans="1:87" x14ac:dyDescent="0.45">
      <c r="A688" t="s">
        <v>24</v>
      </c>
      <c r="B688" t="s">
        <v>1</v>
      </c>
      <c r="C688" t="s">
        <v>46</v>
      </c>
      <c r="D688" t="s">
        <v>81</v>
      </c>
      <c r="E688" t="s">
        <v>26</v>
      </c>
      <c r="F688">
        <v>0.2155</v>
      </c>
      <c r="K688">
        <v>0.47360000000000002</v>
      </c>
      <c r="P688">
        <v>0.48159999999999997</v>
      </c>
      <c r="U688">
        <v>0.62370000000000003</v>
      </c>
      <c r="Z688">
        <v>0.90059999999999996</v>
      </c>
      <c r="AE688">
        <v>0.85640000000000005</v>
      </c>
      <c r="AJ688">
        <v>0.38429999999999997</v>
      </c>
      <c r="CI688" t="s">
        <v>81</v>
      </c>
    </row>
    <row r="689" spans="1:87" x14ac:dyDescent="0.45">
      <c r="A689" t="s">
        <v>24</v>
      </c>
      <c r="B689" t="s">
        <v>1</v>
      </c>
      <c r="C689" t="s">
        <v>46</v>
      </c>
      <c r="D689" t="s">
        <v>82</v>
      </c>
      <c r="E689" t="s">
        <v>26</v>
      </c>
      <c r="F689">
        <v>0.76639999999999997</v>
      </c>
      <c r="K689">
        <v>0.83620000000000005</v>
      </c>
      <c r="P689">
        <v>1.1547000000000001</v>
      </c>
      <c r="U689">
        <v>0.48070000000000002</v>
      </c>
      <c r="Z689">
        <v>9.64E-2</v>
      </c>
      <c r="AE689">
        <v>4.5100000000000001E-2</v>
      </c>
      <c r="AJ689">
        <v>3.4500000000000003E-2</v>
      </c>
      <c r="CI689" t="s">
        <v>82</v>
      </c>
    </row>
    <row r="690" spans="1:87" x14ac:dyDescent="0.45">
      <c r="A690" t="s">
        <v>24</v>
      </c>
      <c r="B690" t="s">
        <v>1</v>
      </c>
      <c r="C690" t="s">
        <v>46</v>
      </c>
      <c r="D690" t="s">
        <v>83</v>
      </c>
      <c r="E690" t="s">
        <v>26</v>
      </c>
      <c r="F690">
        <v>33.1233</v>
      </c>
      <c r="K690">
        <v>34.257300000000001</v>
      </c>
      <c r="P690">
        <v>28.466100000000001</v>
      </c>
      <c r="U690">
        <v>22.553699999999999</v>
      </c>
      <c r="Z690">
        <v>17.914899999999999</v>
      </c>
      <c r="AE690">
        <v>14.853899999999999</v>
      </c>
      <c r="AJ690">
        <v>12.072900000000001</v>
      </c>
      <c r="CI690" t="s">
        <v>83</v>
      </c>
    </row>
    <row r="691" spans="1:87" x14ac:dyDescent="0.45">
      <c r="A691" t="s">
        <v>24</v>
      </c>
      <c r="B691" t="s">
        <v>1</v>
      </c>
      <c r="C691" t="s">
        <v>46</v>
      </c>
      <c r="D691" t="s">
        <v>84</v>
      </c>
      <c r="E691" t="s">
        <v>26</v>
      </c>
      <c r="F691">
        <v>22.232099999999999</v>
      </c>
      <c r="K691">
        <v>22.9986</v>
      </c>
      <c r="P691">
        <v>21.692699999999999</v>
      </c>
      <c r="U691">
        <v>21.366800000000001</v>
      </c>
      <c r="Z691">
        <v>21.218800000000002</v>
      </c>
      <c r="AE691">
        <v>21.2242</v>
      </c>
      <c r="AJ691">
        <v>21.323399999999999</v>
      </c>
      <c r="CI691" t="s">
        <v>84</v>
      </c>
    </row>
    <row r="692" spans="1:87" x14ac:dyDescent="0.45">
      <c r="A692" t="s">
        <v>24</v>
      </c>
      <c r="B692" t="s">
        <v>1</v>
      </c>
      <c r="C692" t="s">
        <v>46</v>
      </c>
      <c r="D692" t="s">
        <v>85</v>
      </c>
      <c r="E692" t="s">
        <v>26</v>
      </c>
      <c r="F692">
        <v>6.4573999999999998</v>
      </c>
      <c r="K692">
        <v>5.4856999999999996</v>
      </c>
      <c r="P692">
        <v>3.8940999999999999</v>
      </c>
      <c r="U692">
        <v>2.4584000000000001</v>
      </c>
      <c r="Z692">
        <v>1.2041999999999999</v>
      </c>
      <c r="AE692">
        <v>0.61280000000000001</v>
      </c>
      <c r="AJ692">
        <v>0.25009999999999999</v>
      </c>
      <c r="CI692" t="s">
        <v>85</v>
      </c>
    </row>
    <row r="693" spans="1:87" x14ac:dyDescent="0.45">
      <c r="A693" t="s">
        <v>24</v>
      </c>
      <c r="B693" t="s">
        <v>1</v>
      </c>
      <c r="C693" t="s">
        <v>46</v>
      </c>
      <c r="D693" t="s">
        <v>86</v>
      </c>
      <c r="E693" t="s">
        <v>26</v>
      </c>
      <c r="F693">
        <v>0.36399999999999999</v>
      </c>
      <c r="K693">
        <v>0.29149999999999998</v>
      </c>
      <c r="P693">
        <v>0.41339999999999999</v>
      </c>
      <c r="U693">
        <v>3.39E-2</v>
      </c>
      <c r="Z693">
        <v>0</v>
      </c>
      <c r="AE693">
        <v>0</v>
      </c>
      <c r="AJ693">
        <v>0</v>
      </c>
      <c r="CI693" t="s">
        <v>86</v>
      </c>
    </row>
    <row r="694" spans="1:87" x14ac:dyDescent="0.45">
      <c r="A694" t="s">
        <v>24</v>
      </c>
      <c r="B694" t="s">
        <v>1</v>
      </c>
      <c r="C694" t="s">
        <v>46</v>
      </c>
      <c r="D694" t="s">
        <v>87</v>
      </c>
      <c r="E694" t="s">
        <v>26</v>
      </c>
      <c r="F694">
        <v>0</v>
      </c>
      <c r="K694">
        <v>0</v>
      </c>
      <c r="P694">
        <v>0</v>
      </c>
      <c r="U694">
        <v>0</v>
      </c>
      <c r="Z694">
        <v>0</v>
      </c>
      <c r="AE694">
        <v>0</v>
      </c>
      <c r="AJ694">
        <v>0</v>
      </c>
      <c r="CI694" t="s">
        <v>87</v>
      </c>
    </row>
    <row r="695" spans="1:87" x14ac:dyDescent="0.45">
      <c r="A695" t="s">
        <v>24</v>
      </c>
      <c r="B695" t="s">
        <v>1</v>
      </c>
      <c r="C695" t="s">
        <v>46</v>
      </c>
      <c r="D695" t="s">
        <v>88</v>
      </c>
      <c r="E695" t="s">
        <v>26</v>
      </c>
      <c r="F695">
        <v>3.1067</v>
      </c>
      <c r="K695">
        <v>3.1469999999999998</v>
      </c>
      <c r="P695">
        <v>1.8176000000000001</v>
      </c>
      <c r="U695">
        <v>0.99270000000000003</v>
      </c>
      <c r="Z695">
        <v>0.97250000000000003</v>
      </c>
      <c r="AE695">
        <v>0.94389999999999996</v>
      </c>
      <c r="AJ695">
        <v>0.8911</v>
      </c>
      <c r="CI695" t="s">
        <v>88</v>
      </c>
    </row>
    <row r="696" spans="1:87" x14ac:dyDescent="0.45">
      <c r="A696" t="s">
        <v>24</v>
      </c>
      <c r="B696" t="s">
        <v>1</v>
      </c>
      <c r="C696" t="s">
        <v>46</v>
      </c>
      <c r="D696" t="s">
        <v>89</v>
      </c>
      <c r="E696" t="s">
        <v>26</v>
      </c>
      <c r="F696">
        <v>3.2399999999999998E-2</v>
      </c>
      <c r="K696">
        <v>5.1299999999999998E-2</v>
      </c>
      <c r="P696">
        <v>5.8700000000000002E-2</v>
      </c>
      <c r="U696">
        <v>4.4999999999999998E-2</v>
      </c>
      <c r="Z696">
        <v>6.2799999999999995E-2</v>
      </c>
      <c r="AE696">
        <v>7.85E-2</v>
      </c>
      <c r="AJ696">
        <v>0.10150000000000001</v>
      </c>
      <c r="CI696" t="s">
        <v>89</v>
      </c>
    </row>
    <row r="697" spans="1:87" x14ac:dyDescent="0.45">
      <c r="A697" t="s">
        <v>24</v>
      </c>
      <c r="B697" t="s">
        <v>1</v>
      </c>
      <c r="C697" t="s">
        <v>46</v>
      </c>
      <c r="D697" t="s">
        <v>90</v>
      </c>
      <c r="E697" t="s">
        <v>26</v>
      </c>
      <c r="F697">
        <v>3.1608999999999998</v>
      </c>
      <c r="K697">
        <v>3.1642999999999999</v>
      </c>
      <c r="P697">
        <v>1.8042</v>
      </c>
      <c r="U697">
        <v>0.97650000000000003</v>
      </c>
      <c r="Z697">
        <v>0.93230000000000002</v>
      </c>
      <c r="AE697">
        <v>0.87829999999999997</v>
      </c>
      <c r="AJ697">
        <v>0.80210000000000004</v>
      </c>
      <c r="CI697" t="s">
        <v>90</v>
      </c>
    </row>
    <row r="698" spans="1:87" x14ac:dyDescent="0.45">
      <c r="A698" t="s">
        <v>24</v>
      </c>
      <c r="B698" t="s">
        <v>1</v>
      </c>
      <c r="C698" t="s">
        <v>46</v>
      </c>
      <c r="D698" t="s">
        <v>91</v>
      </c>
      <c r="E698" t="s">
        <v>26</v>
      </c>
      <c r="F698">
        <v>0</v>
      </c>
      <c r="K698">
        <v>0</v>
      </c>
      <c r="P698">
        <v>0</v>
      </c>
      <c r="U698">
        <v>0</v>
      </c>
      <c r="Z698">
        <v>0</v>
      </c>
      <c r="AE698">
        <v>0</v>
      </c>
      <c r="AJ698">
        <v>0</v>
      </c>
      <c r="CI698" t="s">
        <v>91</v>
      </c>
    </row>
    <row r="699" spans="1:87" x14ac:dyDescent="0.45">
      <c r="A699" t="s">
        <v>24</v>
      </c>
      <c r="B699" t="s">
        <v>1</v>
      </c>
      <c r="C699" t="s">
        <v>46</v>
      </c>
      <c r="D699" t="s">
        <v>92</v>
      </c>
      <c r="E699" t="s">
        <v>26</v>
      </c>
      <c r="F699">
        <v>0</v>
      </c>
      <c r="K699">
        <v>0</v>
      </c>
      <c r="P699">
        <v>0</v>
      </c>
      <c r="U699">
        <v>0</v>
      </c>
      <c r="Z699">
        <v>0</v>
      </c>
      <c r="AE699">
        <v>0</v>
      </c>
      <c r="AJ699">
        <v>0</v>
      </c>
      <c r="CI699" t="s">
        <v>92</v>
      </c>
    </row>
    <row r="700" spans="1:87" x14ac:dyDescent="0.45">
      <c r="A700" t="s">
        <v>24</v>
      </c>
      <c r="B700" t="s">
        <v>1</v>
      </c>
      <c r="C700" t="s">
        <v>46</v>
      </c>
      <c r="D700" t="s">
        <v>93</v>
      </c>
      <c r="E700" t="s">
        <v>26</v>
      </c>
      <c r="F700">
        <v>0</v>
      </c>
      <c r="K700">
        <v>0</v>
      </c>
      <c r="P700">
        <v>0</v>
      </c>
      <c r="U700">
        <v>0</v>
      </c>
      <c r="Z700">
        <v>0</v>
      </c>
      <c r="AE700">
        <v>0</v>
      </c>
      <c r="AJ700">
        <v>0</v>
      </c>
      <c r="CI700" t="s">
        <v>93</v>
      </c>
    </row>
    <row r="701" spans="1:87" x14ac:dyDescent="0.45">
      <c r="A701" t="s">
        <v>24</v>
      </c>
      <c r="B701" t="s">
        <v>1</v>
      </c>
      <c r="C701" t="s">
        <v>46</v>
      </c>
      <c r="D701" t="s">
        <v>94</v>
      </c>
      <c r="E701" t="s">
        <v>26</v>
      </c>
      <c r="F701">
        <v>0.96740000000000004</v>
      </c>
      <c r="K701">
        <v>1.2947</v>
      </c>
      <c r="P701">
        <v>1.6220000000000001</v>
      </c>
      <c r="U701">
        <v>1.0913999999999999</v>
      </c>
      <c r="Z701">
        <v>0.98419999999999996</v>
      </c>
      <c r="AE701">
        <v>0.88970000000000005</v>
      </c>
      <c r="AJ701">
        <v>0.41020000000000001</v>
      </c>
      <c r="CI701" t="s">
        <v>94</v>
      </c>
    </row>
    <row r="702" spans="1:87" x14ac:dyDescent="0.45">
      <c r="A702" t="s">
        <v>24</v>
      </c>
      <c r="B702" t="s">
        <v>1</v>
      </c>
      <c r="C702" t="s">
        <v>46</v>
      </c>
      <c r="D702" t="s">
        <v>95</v>
      </c>
      <c r="E702" t="s">
        <v>26</v>
      </c>
      <c r="F702">
        <v>25.119</v>
      </c>
      <c r="K702">
        <v>25.808499999999999</v>
      </c>
      <c r="P702">
        <v>20.146599999999999</v>
      </c>
      <c r="U702">
        <v>16.8599</v>
      </c>
      <c r="Z702">
        <v>14.235099999999999</v>
      </c>
      <c r="AE702">
        <v>11.5495</v>
      </c>
      <c r="AJ702">
        <v>9.8503000000000007</v>
      </c>
      <c r="CI702" t="s">
        <v>95</v>
      </c>
    </row>
    <row r="703" spans="1:87" x14ac:dyDescent="0.45">
      <c r="A703" t="s">
        <v>24</v>
      </c>
      <c r="B703" t="s">
        <v>1</v>
      </c>
      <c r="C703" t="s">
        <v>46</v>
      </c>
      <c r="D703" t="s">
        <v>96</v>
      </c>
      <c r="E703" t="s">
        <v>26</v>
      </c>
      <c r="F703">
        <v>0</v>
      </c>
      <c r="K703">
        <v>0</v>
      </c>
      <c r="P703">
        <v>0.38890000000000002</v>
      </c>
      <c r="U703">
        <v>1.4402999999999999</v>
      </c>
      <c r="Z703">
        <v>2.7181000000000002</v>
      </c>
      <c r="AE703">
        <v>1.8233999999999999</v>
      </c>
      <c r="AJ703">
        <v>0.5464</v>
      </c>
      <c r="CI703" t="s">
        <v>96</v>
      </c>
    </row>
    <row r="704" spans="1:87" x14ac:dyDescent="0.45">
      <c r="A704" t="s">
        <v>24</v>
      </c>
      <c r="B704" t="s">
        <v>1</v>
      </c>
      <c r="C704" t="s">
        <v>46</v>
      </c>
      <c r="D704" t="s">
        <v>97</v>
      </c>
      <c r="E704" t="s">
        <v>26</v>
      </c>
      <c r="F704">
        <v>25.1816</v>
      </c>
      <c r="K704">
        <v>25.950099999999999</v>
      </c>
      <c r="P704">
        <v>19.561900000000001</v>
      </c>
      <c r="U704">
        <v>14.808</v>
      </c>
      <c r="Z704">
        <v>10.151199999999999</v>
      </c>
      <c r="AE704">
        <v>6.9305000000000003</v>
      </c>
      <c r="AJ704">
        <v>4.3517000000000001</v>
      </c>
      <c r="CI704" t="s">
        <v>97</v>
      </c>
    </row>
    <row r="705" spans="1:87" x14ac:dyDescent="0.45">
      <c r="A705" t="s">
        <v>24</v>
      </c>
      <c r="B705" t="s">
        <v>1</v>
      </c>
      <c r="C705" t="s">
        <v>46</v>
      </c>
      <c r="D705" t="s">
        <v>98</v>
      </c>
      <c r="E705" t="s">
        <v>26</v>
      </c>
      <c r="F705">
        <v>21.878699999999998</v>
      </c>
      <c r="K705">
        <v>22.539200000000001</v>
      </c>
      <c r="P705">
        <v>16.448699999999999</v>
      </c>
      <c r="U705">
        <v>12.8142</v>
      </c>
      <c r="Z705">
        <v>8.8527000000000005</v>
      </c>
      <c r="AE705">
        <v>6.0488</v>
      </c>
      <c r="AJ705">
        <v>3.8380999999999998</v>
      </c>
      <c r="CI705" t="s">
        <v>98</v>
      </c>
    </row>
    <row r="706" spans="1:87" x14ac:dyDescent="0.45">
      <c r="A706" t="s">
        <v>24</v>
      </c>
      <c r="B706" t="s">
        <v>1</v>
      </c>
      <c r="C706" t="s">
        <v>46</v>
      </c>
      <c r="D706" t="s">
        <v>99</v>
      </c>
      <c r="E706" t="s">
        <v>100</v>
      </c>
      <c r="F706">
        <v>17759.189699999999</v>
      </c>
      <c r="K706">
        <v>20999.454300000001</v>
      </c>
      <c r="P706">
        <v>23013.394400000001</v>
      </c>
      <c r="U706">
        <v>24780.872299999999</v>
      </c>
      <c r="Z706">
        <v>26426.736799999999</v>
      </c>
      <c r="AE706">
        <v>27982.406599999998</v>
      </c>
      <c r="AJ706">
        <v>29426.882900000001</v>
      </c>
      <c r="CI706" t="s">
        <v>99</v>
      </c>
    </row>
    <row r="707" spans="1:87" x14ac:dyDescent="0.45">
      <c r="A707" t="s">
        <v>24</v>
      </c>
      <c r="B707" t="s">
        <v>1</v>
      </c>
      <c r="C707" t="s">
        <v>46</v>
      </c>
      <c r="D707" t="s">
        <v>101</v>
      </c>
      <c r="E707" t="s">
        <v>102</v>
      </c>
      <c r="F707">
        <v>335.11259999999999</v>
      </c>
      <c r="K707">
        <v>347.33879999999999</v>
      </c>
      <c r="P707">
        <v>360.10340000000002</v>
      </c>
      <c r="U707">
        <v>371.43430000000001</v>
      </c>
      <c r="Z707">
        <v>382.77010000000001</v>
      </c>
      <c r="AE707">
        <v>392.61290000000002</v>
      </c>
      <c r="AJ707">
        <v>402.44220000000001</v>
      </c>
      <c r="CI707" t="s">
        <v>101</v>
      </c>
    </row>
    <row r="708" spans="1:87" x14ac:dyDescent="0.45">
      <c r="A708" t="s">
        <v>24</v>
      </c>
      <c r="B708" t="s">
        <v>1</v>
      </c>
      <c r="C708" t="s">
        <v>46</v>
      </c>
      <c r="D708" t="s">
        <v>103</v>
      </c>
      <c r="E708" t="s">
        <v>104</v>
      </c>
      <c r="F708">
        <v>0.99990000000000001</v>
      </c>
      <c r="K708">
        <v>0.93110000000000004</v>
      </c>
      <c r="P708">
        <v>0.86280000000000001</v>
      </c>
      <c r="U708">
        <v>0.86660000000000004</v>
      </c>
      <c r="Z708">
        <v>0.86719999999999997</v>
      </c>
      <c r="AE708">
        <v>0.88759999999999994</v>
      </c>
      <c r="AJ708">
        <v>0.90510000000000002</v>
      </c>
      <c r="CI708" t="s">
        <v>103</v>
      </c>
    </row>
    <row r="709" spans="1:87" x14ac:dyDescent="0.45">
      <c r="A709" t="s">
        <v>24</v>
      </c>
      <c r="B709" t="s">
        <v>1</v>
      </c>
      <c r="C709" t="s">
        <v>46</v>
      </c>
      <c r="D709" t="s">
        <v>105</v>
      </c>
      <c r="E709" t="s">
        <v>104</v>
      </c>
      <c r="F709">
        <v>1.0125</v>
      </c>
      <c r="K709">
        <v>0.9415</v>
      </c>
      <c r="P709">
        <v>0.85440000000000005</v>
      </c>
      <c r="U709">
        <v>0.77510000000000001</v>
      </c>
      <c r="Z709">
        <v>0.68620000000000003</v>
      </c>
      <c r="AE709">
        <v>0.65959999999999996</v>
      </c>
      <c r="AJ709">
        <v>0.62760000000000005</v>
      </c>
      <c r="CI709" t="s">
        <v>105</v>
      </c>
    </row>
    <row r="710" spans="1:87" x14ac:dyDescent="0.45">
      <c r="A710" t="s">
        <v>24</v>
      </c>
      <c r="B710" t="s">
        <v>1</v>
      </c>
      <c r="C710" t="s">
        <v>46</v>
      </c>
      <c r="D710" t="s">
        <v>106</v>
      </c>
      <c r="E710" t="s">
        <v>107</v>
      </c>
      <c r="F710">
        <v>0</v>
      </c>
      <c r="K710">
        <v>40.619599999999998</v>
      </c>
      <c r="P710">
        <v>698.05600000000004</v>
      </c>
      <c r="U710">
        <v>665.51030000000003</v>
      </c>
      <c r="Z710">
        <v>824.71320000000003</v>
      </c>
      <c r="AE710">
        <v>1025.4414999999999</v>
      </c>
      <c r="AJ710">
        <v>1275.2833000000001</v>
      </c>
      <c r="CI710" t="s">
        <v>106</v>
      </c>
    </row>
    <row r="711" spans="1:87" x14ac:dyDescent="0.45">
      <c r="A711" t="s">
        <v>24</v>
      </c>
      <c r="B711" t="s">
        <v>1</v>
      </c>
      <c r="C711" t="s">
        <v>46</v>
      </c>
      <c r="D711" t="s">
        <v>108</v>
      </c>
      <c r="E711" t="s">
        <v>31</v>
      </c>
      <c r="F711">
        <v>6.4366000000000003</v>
      </c>
      <c r="K711">
        <v>12.141299999999999</v>
      </c>
      <c r="P711">
        <v>81.146100000000004</v>
      </c>
      <c r="U711">
        <v>27.213000000000001</v>
      </c>
      <c r="Z711">
        <v>25.837700000000002</v>
      </c>
      <c r="AE711">
        <v>25.385000000000002</v>
      </c>
      <c r="AJ711">
        <v>25.237200000000001</v>
      </c>
      <c r="CI711" t="s">
        <v>108</v>
      </c>
    </row>
    <row r="712" spans="1:87" x14ac:dyDescent="0.45">
      <c r="A712" t="s">
        <v>24</v>
      </c>
      <c r="B712" t="s">
        <v>1</v>
      </c>
      <c r="C712" t="s">
        <v>46</v>
      </c>
      <c r="D712" t="s">
        <v>109</v>
      </c>
      <c r="E712" t="s">
        <v>31</v>
      </c>
      <c r="F712">
        <v>13.0496</v>
      </c>
      <c r="K712">
        <v>10.955399999999999</v>
      </c>
      <c r="P712">
        <v>69.84</v>
      </c>
      <c r="U712">
        <v>25.324400000000001</v>
      </c>
      <c r="Z712">
        <v>55.2879</v>
      </c>
      <c r="AE712">
        <v>65.058400000000006</v>
      </c>
      <c r="AJ712">
        <v>38.692599999999999</v>
      </c>
      <c r="CI712" t="s">
        <v>109</v>
      </c>
    </row>
    <row r="713" spans="1:87" x14ac:dyDescent="0.45">
      <c r="A713" t="s">
        <v>24</v>
      </c>
      <c r="B713" t="s">
        <v>1</v>
      </c>
      <c r="C713" t="s">
        <v>46</v>
      </c>
      <c r="D713" t="s">
        <v>110</v>
      </c>
      <c r="E713" t="s">
        <v>31</v>
      </c>
      <c r="F713">
        <v>0</v>
      </c>
      <c r="K713">
        <v>0</v>
      </c>
      <c r="P713">
        <v>0</v>
      </c>
      <c r="U713">
        <v>0</v>
      </c>
      <c r="Z713">
        <v>0</v>
      </c>
      <c r="AE713">
        <v>0</v>
      </c>
      <c r="AJ713">
        <v>0</v>
      </c>
      <c r="CI713" t="s">
        <v>110</v>
      </c>
    </row>
    <row r="714" spans="1:87" x14ac:dyDescent="0.45">
      <c r="A714" t="s">
        <v>24</v>
      </c>
      <c r="B714" t="s">
        <v>1</v>
      </c>
      <c r="C714" t="s">
        <v>46</v>
      </c>
      <c r="D714" t="s">
        <v>111</v>
      </c>
      <c r="E714" t="s">
        <v>31</v>
      </c>
      <c r="F714">
        <v>49.3825</v>
      </c>
      <c r="K714">
        <v>7.7740999999999998</v>
      </c>
      <c r="P714">
        <v>104.9932</v>
      </c>
      <c r="U714">
        <v>68.418899999999994</v>
      </c>
      <c r="Z714">
        <v>88.469200000000001</v>
      </c>
      <c r="AE714">
        <v>99.693100000000001</v>
      </c>
      <c r="AJ714">
        <v>99.562600000000003</v>
      </c>
      <c r="CI714" t="s">
        <v>111</v>
      </c>
    </row>
    <row r="715" spans="1:87" x14ac:dyDescent="0.45">
      <c r="A715" t="s">
        <v>24</v>
      </c>
      <c r="B715" t="s">
        <v>1</v>
      </c>
      <c r="C715" t="s">
        <v>46</v>
      </c>
      <c r="D715" t="s">
        <v>112</v>
      </c>
      <c r="E715" t="s">
        <v>26</v>
      </c>
      <c r="F715">
        <v>81.321399999999997</v>
      </c>
      <c r="K715">
        <v>78.041600000000003</v>
      </c>
      <c r="P715">
        <v>66.893900000000002</v>
      </c>
      <c r="U715">
        <v>59.955300000000001</v>
      </c>
      <c r="Z715">
        <v>55.669400000000003</v>
      </c>
      <c r="AE715">
        <v>52.884999999999998</v>
      </c>
      <c r="AJ715">
        <v>49.497</v>
      </c>
      <c r="CI715" t="s">
        <v>112</v>
      </c>
    </row>
    <row r="716" spans="1:87" x14ac:dyDescent="0.45">
      <c r="A716" t="s">
        <v>24</v>
      </c>
      <c r="B716" t="s">
        <v>1</v>
      </c>
      <c r="C716" t="s">
        <v>46</v>
      </c>
      <c r="D716" t="s">
        <v>113</v>
      </c>
      <c r="E716" t="s">
        <v>26</v>
      </c>
      <c r="F716">
        <v>6.7499000000000002</v>
      </c>
      <c r="K716">
        <v>6.7107000000000001</v>
      </c>
      <c r="P716">
        <v>7.4170999999999996</v>
      </c>
      <c r="U716">
        <v>6.6158999999999999</v>
      </c>
      <c r="Z716">
        <v>7.1920999999999999</v>
      </c>
      <c r="AE716">
        <v>6.6711</v>
      </c>
      <c r="AJ716">
        <v>5.8930999999999996</v>
      </c>
      <c r="CI716" t="s">
        <v>113</v>
      </c>
    </row>
    <row r="717" spans="1:87" x14ac:dyDescent="0.45">
      <c r="A717" t="s">
        <v>24</v>
      </c>
      <c r="B717" t="s">
        <v>1</v>
      </c>
      <c r="C717" t="s">
        <v>46</v>
      </c>
      <c r="D717" t="s">
        <v>114</v>
      </c>
      <c r="E717" t="s">
        <v>26</v>
      </c>
      <c r="F717">
        <v>13.4823</v>
      </c>
      <c r="K717">
        <v>7.0071000000000003</v>
      </c>
      <c r="P717">
        <v>2.6604999999999999</v>
      </c>
      <c r="U717">
        <v>1.6745000000000001</v>
      </c>
      <c r="Z717">
        <v>0.94699999999999995</v>
      </c>
      <c r="AE717">
        <v>1.6839999999999999</v>
      </c>
      <c r="AJ717">
        <v>1.0150999999999999</v>
      </c>
      <c r="CI717" t="s">
        <v>114</v>
      </c>
    </row>
    <row r="718" spans="1:87" x14ac:dyDescent="0.45">
      <c r="A718" t="s">
        <v>24</v>
      </c>
      <c r="B718" t="s">
        <v>1</v>
      </c>
      <c r="C718" t="s">
        <v>46</v>
      </c>
      <c r="D718" t="s">
        <v>115</v>
      </c>
      <c r="E718" t="s">
        <v>26</v>
      </c>
      <c r="F718">
        <v>0</v>
      </c>
      <c r="K718">
        <v>0</v>
      </c>
      <c r="P718">
        <v>1.2462</v>
      </c>
      <c r="U718">
        <v>1.1202000000000001</v>
      </c>
      <c r="Z718">
        <v>0.83579999999999999</v>
      </c>
      <c r="AE718">
        <v>1.6272</v>
      </c>
      <c r="AJ718">
        <v>0.96919999999999995</v>
      </c>
      <c r="CI718" t="s">
        <v>115</v>
      </c>
    </row>
    <row r="719" spans="1:87" x14ac:dyDescent="0.45">
      <c r="A719" t="s">
        <v>24</v>
      </c>
      <c r="B719" t="s">
        <v>1</v>
      </c>
      <c r="C719" t="s">
        <v>46</v>
      </c>
      <c r="D719" t="s">
        <v>116</v>
      </c>
      <c r="E719" t="s">
        <v>26</v>
      </c>
      <c r="F719">
        <v>13.4823</v>
      </c>
      <c r="K719">
        <v>7.0071000000000003</v>
      </c>
      <c r="P719">
        <v>1.4142999999999999</v>
      </c>
      <c r="U719">
        <v>0.55430000000000001</v>
      </c>
      <c r="Z719">
        <v>0.11119999999999999</v>
      </c>
      <c r="AE719">
        <v>5.6800000000000003E-2</v>
      </c>
      <c r="AJ719">
        <v>4.5900000000000003E-2</v>
      </c>
      <c r="CI719" t="s">
        <v>116</v>
      </c>
    </row>
    <row r="720" spans="1:87" x14ac:dyDescent="0.45">
      <c r="A720" t="s">
        <v>24</v>
      </c>
      <c r="B720" t="s">
        <v>1</v>
      </c>
      <c r="C720" t="s">
        <v>46</v>
      </c>
      <c r="D720" t="s">
        <v>117</v>
      </c>
      <c r="E720" t="s">
        <v>26</v>
      </c>
      <c r="F720">
        <v>67.957400000000007</v>
      </c>
      <c r="K720">
        <v>62.361699999999999</v>
      </c>
      <c r="P720">
        <v>42.054299999999998</v>
      </c>
      <c r="U720">
        <v>30.4011</v>
      </c>
      <c r="Z720">
        <v>23.446200000000001</v>
      </c>
      <c r="AE720">
        <v>18.6526</v>
      </c>
      <c r="AJ720">
        <v>12.872</v>
      </c>
      <c r="CI720" t="s">
        <v>117</v>
      </c>
    </row>
    <row r="721" spans="1:87" x14ac:dyDescent="0.45">
      <c r="A721" t="s">
        <v>24</v>
      </c>
      <c r="B721" t="s">
        <v>1</v>
      </c>
      <c r="C721" t="s">
        <v>46</v>
      </c>
      <c r="D721" t="s">
        <v>118</v>
      </c>
      <c r="E721" t="s">
        <v>26</v>
      </c>
      <c r="F721">
        <v>0</v>
      </c>
      <c r="K721">
        <v>0</v>
      </c>
      <c r="P721">
        <v>1.6856</v>
      </c>
      <c r="U721">
        <v>2.3134000000000001</v>
      </c>
      <c r="Z721">
        <v>1.8759999999999999</v>
      </c>
      <c r="AE721">
        <v>3.1701000000000001</v>
      </c>
      <c r="AJ721">
        <v>2.8311999999999999</v>
      </c>
      <c r="CI721" t="s">
        <v>118</v>
      </c>
    </row>
    <row r="722" spans="1:87" x14ac:dyDescent="0.45">
      <c r="A722" t="s">
        <v>24</v>
      </c>
      <c r="B722" t="s">
        <v>1</v>
      </c>
      <c r="C722" t="s">
        <v>46</v>
      </c>
      <c r="D722" t="s">
        <v>119</v>
      </c>
      <c r="E722" t="s">
        <v>26</v>
      </c>
      <c r="F722">
        <v>67.957400000000007</v>
      </c>
      <c r="K722">
        <v>62.361699999999999</v>
      </c>
      <c r="P722">
        <v>40.324800000000003</v>
      </c>
      <c r="U722">
        <v>28.040700000000001</v>
      </c>
      <c r="Z722">
        <v>21.544799999999999</v>
      </c>
      <c r="AE722">
        <v>15.4613</v>
      </c>
      <c r="AJ722">
        <v>10.040800000000001</v>
      </c>
      <c r="CI722" t="s">
        <v>119</v>
      </c>
    </row>
    <row r="723" spans="1:87" x14ac:dyDescent="0.45">
      <c r="A723" t="s">
        <v>24</v>
      </c>
      <c r="B723" t="s">
        <v>1</v>
      </c>
      <c r="C723" t="s">
        <v>46</v>
      </c>
      <c r="D723" t="s">
        <v>120</v>
      </c>
      <c r="E723" t="s">
        <v>26</v>
      </c>
      <c r="F723">
        <v>23.382400000000001</v>
      </c>
      <c r="K723">
        <v>22.790700000000001</v>
      </c>
      <c r="P723">
        <v>17.098600000000001</v>
      </c>
      <c r="U723">
        <v>12.279299999999999</v>
      </c>
      <c r="Z723">
        <v>9.8826000000000001</v>
      </c>
      <c r="AE723">
        <v>7.3091999999999997</v>
      </c>
      <c r="AJ723">
        <v>4.9951999999999996</v>
      </c>
      <c r="CI723" t="s">
        <v>120</v>
      </c>
    </row>
    <row r="724" spans="1:87" x14ac:dyDescent="0.45">
      <c r="A724" t="s">
        <v>24</v>
      </c>
      <c r="B724" t="s">
        <v>1</v>
      </c>
      <c r="C724" t="s">
        <v>46</v>
      </c>
      <c r="D724" t="s">
        <v>121</v>
      </c>
      <c r="E724" t="s">
        <v>26</v>
      </c>
      <c r="F724">
        <v>0</v>
      </c>
      <c r="K724">
        <v>0</v>
      </c>
      <c r="P724">
        <v>0.43940000000000001</v>
      </c>
      <c r="U724">
        <v>1.1932</v>
      </c>
      <c r="Z724">
        <v>1.0402</v>
      </c>
      <c r="AE724">
        <v>1.5428999999999999</v>
      </c>
      <c r="AJ724">
        <v>1.8620000000000001</v>
      </c>
      <c r="CI724" t="s">
        <v>121</v>
      </c>
    </row>
    <row r="725" spans="1:87" x14ac:dyDescent="0.45">
      <c r="A725" t="s">
        <v>24</v>
      </c>
      <c r="B725" t="s">
        <v>1</v>
      </c>
      <c r="C725" t="s">
        <v>46</v>
      </c>
      <c r="D725" t="s">
        <v>122</v>
      </c>
      <c r="E725" t="s">
        <v>26</v>
      </c>
      <c r="F725">
        <v>23.382400000000001</v>
      </c>
      <c r="K725">
        <v>22.790700000000001</v>
      </c>
      <c r="P725">
        <v>16.659099999999999</v>
      </c>
      <c r="U725">
        <v>11.0861</v>
      </c>
      <c r="Z725">
        <v>8.8424999999999994</v>
      </c>
      <c r="AE725">
        <v>5.7663000000000002</v>
      </c>
      <c r="AJ725">
        <v>3.1331000000000002</v>
      </c>
      <c r="CI725" t="s">
        <v>122</v>
      </c>
    </row>
    <row r="726" spans="1:87" x14ac:dyDescent="0.45">
      <c r="A726" t="s">
        <v>24</v>
      </c>
      <c r="B726" t="s">
        <v>1</v>
      </c>
      <c r="C726" t="s">
        <v>46</v>
      </c>
      <c r="D726" t="s">
        <v>123</v>
      </c>
      <c r="E726" t="s">
        <v>26</v>
      </c>
      <c r="F726">
        <v>8.9599999999999999E-2</v>
      </c>
      <c r="K726">
        <v>0.1051</v>
      </c>
      <c r="P726">
        <v>0.2288</v>
      </c>
      <c r="U726">
        <v>0.40329999999999999</v>
      </c>
      <c r="Z726">
        <v>0.64970000000000006</v>
      </c>
      <c r="AE726">
        <v>0.99809999999999999</v>
      </c>
      <c r="AJ726">
        <v>1.4577</v>
      </c>
      <c r="CI726" t="s">
        <v>123</v>
      </c>
    </row>
    <row r="727" spans="1:87" x14ac:dyDescent="0.45">
      <c r="A727" t="s">
        <v>24</v>
      </c>
      <c r="B727" t="s">
        <v>1</v>
      </c>
      <c r="C727" t="s">
        <v>46</v>
      </c>
      <c r="D727" t="s">
        <v>124</v>
      </c>
      <c r="E727" t="s">
        <v>26</v>
      </c>
      <c r="F727">
        <v>1.1474</v>
      </c>
      <c r="K727">
        <v>1.1392</v>
      </c>
      <c r="P727">
        <v>1.4845999999999999</v>
      </c>
      <c r="U727">
        <v>1.3704000000000001</v>
      </c>
      <c r="Z727">
        <v>1.3582000000000001</v>
      </c>
      <c r="AE727">
        <v>1.4049</v>
      </c>
      <c r="AJ727">
        <v>1.4938</v>
      </c>
      <c r="CI727" t="s">
        <v>124</v>
      </c>
    </row>
    <row r="728" spans="1:87" x14ac:dyDescent="0.45">
      <c r="A728" t="s">
        <v>24</v>
      </c>
      <c r="B728" t="s">
        <v>1</v>
      </c>
      <c r="C728" t="s">
        <v>46</v>
      </c>
      <c r="D728" t="s">
        <v>125</v>
      </c>
      <c r="E728" t="s">
        <v>26</v>
      </c>
      <c r="F728">
        <v>3.0341</v>
      </c>
      <c r="K728">
        <v>3.0911</v>
      </c>
      <c r="P728">
        <v>3.4382000000000001</v>
      </c>
      <c r="U728">
        <v>3.1983000000000001</v>
      </c>
      <c r="Z728">
        <v>3.5558999999999998</v>
      </c>
      <c r="AE728">
        <v>3.7703000000000002</v>
      </c>
      <c r="AJ728">
        <v>4.2135999999999996</v>
      </c>
      <c r="CI728" t="s">
        <v>125</v>
      </c>
    </row>
    <row r="729" spans="1:87" x14ac:dyDescent="0.45">
      <c r="A729" t="s">
        <v>24</v>
      </c>
      <c r="B729" t="s">
        <v>1</v>
      </c>
      <c r="C729" t="s">
        <v>46</v>
      </c>
      <c r="D729" t="s">
        <v>126</v>
      </c>
      <c r="E729" t="s">
        <v>26</v>
      </c>
      <c r="F729">
        <v>31.092700000000001</v>
      </c>
      <c r="K729">
        <v>32.563899999999997</v>
      </c>
      <c r="P729">
        <v>22.2514</v>
      </c>
      <c r="U729">
        <v>16.400400000000001</v>
      </c>
      <c r="Z729">
        <v>12.591100000000001</v>
      </c>
      <c r="AE729">
        <v>9.6381999999999994</v>
      </c>
      <c r="AJ729">
        <v>6.8617999999999997</v>
      </c>
      <c r="CI729" t="s">
        <v>126</v>
      </c>
    </row>
    <row r="730" spans="1:87" x14ac:dyDescent="0.45">
      <c r="A730" t="s">
        <v>24</v>
      </c>
      <c r="B730" t="s">
        <v>1</v>
      </c>
      <c r="C730" t="s">
        <v>46</v>
      </c>
      <c r="D730" t="s">
        <v>127</v>
      </c>
      <c r="E730" t="s">
        <v>26</v>
      </c>
      <c r="F730">
        <v>31.092700000000001</v>
      </c>
      <c r="K730">
        <v>32.563899999999997</v>
      </c>
      <c r="P730">
        <v>22.2514</v>
      </c>
      <c r="U730">
        <v>16.400400000000001</v>
      </c>
      <c r="Z730">
        <v>12.591100000000001</v>
      </c>
      <c r="AE730">
        <v>9.6381999999999994</v>
      </c>
      <c r="AJ730">
        <v>6.8617999999999997</v>
      </c>
      <c r="CI730" t="s">
        <v>127</v>
      </c>
    </row>
    <row r="731" spans="1:87" x14ac:dyDescent="0.45">
      <c r="A731" t="s">
        <v>24</v>
      </c>
      <c r="B731" t="s">
        <v>1</v>
      </c>
      <c r="C731" t="s">
        <v>46</v>
      </c>
      <c r="D731" t="s">
        <v>128</v>
      </c>
      <c r="E731" t="s">
        <v>26</v>
      </c>
      <c r="F731">
        <v>0.92779999999999996</v>
      </c>
      <c r="K731">
        <v>1.4863999999999999</v>
      </c>
      <c r="P731">
        <v>3.7429000000000001</v>
      </c>
      <c r="U731">
        <v>8.0410000000000004</v>
      </c>
      <c r="Z731">
        <v>10.4633</v>
      </c>
      <c r="AE731">
        <v>11.7944</v>
      </c>
      <c r="AJ731">
        <v>13.1181</v>
      </c>
      <c r="CI731" t="s">
        <v>128</v>
      </c>
    </row>
    <row r="732" spans="1:87" x14ac:dyDescent="0.45">
      <c r="A732" t="s">
        <v>24</v>
      </c>
      <c r="B732" t="s">
        <v>1</v>
      </c>
      <c r="C732" t="s">
        <v>46</v>
      </c>
      <c r="D732" t="s">
        <v>129</v>
      </c>
      <c r="E732" t="s">
        <v>26</v>
      </c>
      <c r="F732">
        <v>1.4151</v>
      </c>
      <c r="K732">
        <v>3.1473</v>
      </c>
      <c r="P732">
        <v>8.5717999999999996</v>
      </c>
      <c r="U732">
        <v>9.9722000000000008</v>
      </c>
      <c r="Z732">
        <v>9.0295000000000005</v>
      </c>
      <c r="AE732">
        <v>9.6149000000000004</v>
      </c>
      <c r="AJ732">
        <v>10.448600000000001</v>
      </c>
      <c r="CI732" t="s">
        <v>129</v>
      </c>
    </row>
    <row r="733" spans="1:87" x14ac:dyDescent="0.45">
      <c r="A733" t="s">
        <v>24</v>
      </c>
      <c r="B733" t="s">
        <v>1</v>
      </c>
      <c r="C733" t="s">
        <v>46</v>
      </c>
      <c r="D733" t="s">
        <v>130</v>
      </c>
      <c r="E733" t="s">
        <v>100</v>
      </c>
      <c r="F733">
        <v>0</v>
      </c>
      <c r="K733">
        <v>179.56870000000001</v>
      </c>
      <c r="P733">
        <v>1778.6413</v>
      </c>
      <c r="U733">
        <v>1125.7472</v>
      </c>
      <c r="Z733">
        <v>1000.0209</v>
      </c>
      <c r="AE733">
        <v>772.60130000000004</v>
      </c>
      <c r="AJ733">
        <v>554.08510000000001</v>
      </c>
      <c r="CI733" t="s">
        <v>130</v>
      </c>
    </row>
    <row r="734" spans="1:87" x14ac:dyDescent="0.45">
      <c r="A734" t="s">
        <v>24</v>
      </c>
      <c r="B734" t="s">
        <v>1</v>
      </c>
      <c r="C734" t="s">
        <v>46</v>
      </c>
      <c r="D734" t="s">
        <v>131</v>
      </c>
      <c r="E734" t="s">
        <v>100</v>
      </c>
      <c r="F734">
        <v>0</v>
      </c>
      <c r="K734">
        <v>15.928100000000001</v>
      </c>
      <c r="P734">
        <v>243.28989999999999</v>
      </c>
      <c r="U734">
        <v>179.85169999999999</v>
      </c>
      <c r="Z734">
        <v>172.7054</v>
      </c>
      <c r="AE734">
        <v>158.85300000000001</v>
      </c>
      <c r="AJ734">
        <v>137.25579999999999</v>
      </c>
      <c r="CI734" t="s">
        <v>131</v>
      </c>
    </row>
    <row r="735" spans="1:87" x14ac:dyDescent="0.45">
      <c r="A735" t="s">
        <v>24</v>
      </c>
      <c r="B735" t="s">
        <v>1</v>
      </c>
      <c r="C735" t="s">
        <v>46</v>
      </c>
      <c r="D735" t="s">
        <v>132</v>
      </c>
      <c r="E735" t="s">
        <v>100</v>
      </c>
      <c r="F735">
        <v>0</v>
      </c>
      <c r="K735">
        <v>22.085000000000001</v>
      </c>
      <c r="P735">
        <v>255.4273</v>
      </c>
      <c r="U735">
        <v>149.87950000000001</v>
      </c>
      <c r="Z735">
        <v>119.5778</v>
      </c>
      <c r="AE735">
        <v>105.4027</v>
      </c>
      <c r="AJ735">
        <v>99.306399999999996</v>
      </c>
      <c r="CI735" t="s">
        <v>132</v>
      </c>
    </row>
    <row r="736" spans="1:87" x14ac:dyDescent="0.45">
      <c r="A736" t="s">
        <v>24</v>
      </c>
      <c r="B736" t="s">
        <v>1</v>
      </c>
      <c r="C736" t="s">
        <v>46</v>
      </c>
      <c r="D736" t="s">
        <v>133</v>
      </c>
      <c r="E736" t="s">
        <v>100</v>
      </c>
      <c r="F736">
        <v>0</v>
      </c>
      <c r="K736">
        <v>73.019599999999997</v>
      </c>
      <c r="P736">
        <v>928.50490000000002</v>
      </c>
      <c r="U736">
        <v>728.66719999999998</v>
      </c>
      <c r="Z736">
        <v>679.74620000000004</v>
      </c>
      <c r="AE736">
        <v>563.05370000000005</v>
      </c>
      <c r="AJ736">
        <v>386.29899999999998</v>
      </c>
      <c r="CI736" t="s">
        <v>133</v>
      </c>
    </row>
    <row r="737" spans="1:87" x14ac:dyDescent="0.45">
      <c r="A737" t="s">
        <v>24</v>
      </c>
      <c r="B737" t="s">
        <v>1</v>
      </c>
      <c r="C737" t="s">
        <v>46</v>
      </c>
      <c r="D737" t="s">
        <v>134</v>
      </c>
      <c r="E737" t="s">
        <v>100</v>
      </c>
      <c r="F737">
        <v>0</v>
      </c>
      <c r="K737">
        <v>68.536000000000001</v>
      </c>
      <c r="P737">
        <v>351.41930000000002</v>
      </c>
      <c r="U737">
        <v>67.348799999999997</v>
      </c>
      <c r="Z737">
        <v>27.991599999999998</v>
      </c>
      <c r="AE737">
        <v>-54.708100000000002</v>
      </c>
      <c r="AJ737">
        <v>-68.776200000000003</v>
      </c>
      <c r="CI737" t="s">
        <v>134</v>
      </c>
    </row>
    <row r="738" spans="1:87" x14ac:dyDescent="0.45">
      <c r="A738" t="s">
        <v>24</v>
      </c>
      <c r="B738" t="s">
        <v>1</v>
      </c>
      <c r="C738" t="s">
        <v>46</v>
      </c>
      <c r="D738" t="s">
        <v>135</v>
      </c>
      <c r="E738" t="s">
        <v>26</v>
      </c>
      <c r="F738">
        <v>4.7729999999999997</v>
      </c>
      <c r="K738">
        <v>2.4552999999999998</v>
      </c>
      <c r="P738">
        <v>0.31879999999999997</v>
      </c>
      <c r="U738">
        <v>0.1928</v>
      </c>
      <c r="Z738">
        <v>1.7500000000000002E-2</v>
      </c>
      <c r="AE738">
        <v>3.3700000000000001E-2</v>
      </c>
      <c r="AJ738">
        <v>2.1000000000000001E-2</v>
      </c>
      <c r="CI738" t="s">
        <v>135</v>
      </c>
    </row>
    <row r="739" spans="1:87" x14ac:dyDescent="0.45">
      <c r="A739" t="s">
        <v>24</v>
      </c>
      <c r="B739" t="s">
        <v>1</v>
      </c>
      <c r="C739" t="s">
        <v>46</v>
      </c>
      <c r="D739" t="s">
        <v>136</v>
      </c>
      <c r="E739" t="s">
        <v>26</v>
      </c>
      <c r="F739">
        <v>4.3838999999999997</v>
      </c>
      <c r="K739">
        <v>6.1954000000000002</v>
      </c>
      <c r="P739">
        <v>3.3883000000000001</v>
      </c>
      <c r="U739">
        <v>0.5595</v>
      </c>
      <c r="Z739">
        <v>0.29110000000000003</v>
      </c>
      <c r="AE739">
        <v>0.27900000000000003</v>
      </c>
      <c r="AJ739">
        <v>8.8700000000000001E-2</v>
      </c>
      <c r="CI739" t="s">
        <v>136</v>
      </c>
    </row>
    <row r="740" spans="1:87" x14ac:dyDescent="0.45">
      <c r="A740" t="s">
        <v>24</v>
      </c>
      <c r="B740" t="s">
        <v>1</v>
      </c>
      <c r="C740" t="s">
        <v>46</v>
      </c>
      <c r="D740" t="s">
        <v>137</v>
      </c>
      <c r="E740" t="s">
        <v>26</v>
      </c>
      <c r="F740">
        <v>5.62E-2</v>
      </c>
      <c r="K740">
        <v>7.5499999999999998E-2</v>
      </c>
      <c r="P740">
        <v>0.17449999999999999</v>
      </c>
      <c r="U740">
        <v>0.31919999999999998</v>
      </c>
      <c r="Z740">
        <v>0.53879999999999995</v>
      </c>
      <c r="AE740">
        <v>0.85840000000000005</v>
      </c>
      <c r="AJ740">
        <v>1.3230999999999999</v>
      </c>
      <c r="CI740" t="s">
        <v>137</v>
      </c>
    </row>
    <row r="741" spans="1:87" x14ac:dyDescent="0.45">
      <c r="A741" t="s">
        <v>24</v>
      </c>
      <c r="B741" t="s">
        <v>1</v>
      </c>
      <c r="C741" t="s">
        <v>46</v>
      </c>
      <c r="D741" t="s">
        <v>138</v>
      </c>
      <c r="E741" t="s">
        <v>26</v>
      </c>
      <c r="F741">
        <v>1.1474</v>
      </c>
      <c r="K741">
        <v>1.1392</v>
      </c>
      <c r="P741">
        <v>1.4845999999999999</v>
      </c>
      <c r="U741">
        <v>1.526</v>
      </c>
      <c r="Z741">
        <v>1.5660000000000001</v>
      </c>
      <c r="AE741">
        <v>1.5966</v>
      </c>
      <c r="AJ741">
        <v>1.6258999999999999</v>
      </c>
      <c r="CI741" t="s">
        <v>138</v>
      </c>
    </row>
    <row r="742" spans="1:87" x14ac:dyDescent="0.45">
      <c r="A742" t="s">
        <v>24</v>
      </c>
      <c r="B742" t="s">
        <v>1</v>
      </c>
      <c r="C742" t="s">
        <v>46</v>
      </c>
      <c r="D742" t="s">
        <v>139</v>
      </c>
      <c r="E742" t="s">
        <v>26</v>
      </c>
      <c r="F742">
        <v>3.0304000000000002</v>
      </c>
      <c r="K742">
        <v>3.0825999999999998</v>
      </c>
      <c r="P742">
        <v>3.4024999999999999</v>
      </c>
      <c r="U742">
        <v>3.15</v>
      </c>
      <c r="Z742">
        <v>3.5427</v>
      </c>
      <c r="AE742">
        <v>3.7709999999999999</v>
      </c>
      <c r="AJ742">
        <v>4.2135999999999996</v>
      </c>
      <c r="CI742" t="s">
        <v>139</v>
      </c>
    </row>
    <row r="743" spans="1:87" x14ac:dyDescent="0.45">
      <c r="A743" t="s">
        <v>24</v>
      </c>
      <c r="B743" t="s">
        <v>1</v>
      </c>
      <c r="C743" t="s">
        <v>46</v>
      </c>
      <c r="D743" t="s">
        <v>140</v>
      </c>
      <c r="E743" t="s">
        <v>26</v>
      </c>
      <c r="F743">
        <v>0.67420000000000002</v>
      </c>
      <c r="K743">
        <v>0.59770000000000001</v>
      </c>
      <c r="P743">
        <v>7.5200000000000003E-2</v>
      </c>
      <c r="U743">
        <v>0</v>
      </c>
      <c r="Z743">
        <v>0</v>
      </c>
      <c r="AE743">
        <v>0</v>
      </c>
      <c r="AJ743">
        <v>0</v>
      </c>
      <c r="CI743" t="s">
        <v>140</v>
      </c>
    </row>
    <row r="744" spans="1:87" x14ac:dyDescent="0.45">
      <c r="A744" t="s">
        <v>24</v>
      </c>
      <c r="B744" t="s">
        <v>1</v>
      </c>
      <c r="C744" t="s">
        <v>46</v>
      </c>
      <c r="D744" t="s">
        <v>141</v>
      </c>
      <c r="E744" t="s">
        <v>26</v>
      </c>
      <c r="F744">
        <v>0.73029999999999995</v>
      </c>
      <c r="K744">
        <v>0.64829999999999999</v>
      </c>
      <c r="P744">
        <v>3.5543</v>
      </c>
      <c r="U744">
        <v>8.0448000000000004</v>
      </c>
      <c r="Z744">
        <v>9.7765000000000004</v>
      </c>
      <c r="AE744">
        <v>9.8385999999999996</v>
      </c>
      <c r="AJ744">
        <v>10.117900000000001</v>
      </c>
      <c r="CI744" t="s">
        <v>141</v>
      </c>
    </row>
    <row r="745" spans="1:87" x14ac:dyDescent="0.45">
      <c r="A745" t="s">
        <v>24</v>
      </c>
      <c r="B745" t="s">
        <v>1</v>
      </c>
      <c r="C745" t="s">
        <v>46</v>
      </c>
      <c r="D745" t="s">
        <v>142</v>
      </c>
      <c r="E745" t="s">
        <v>26</v>
      </c>
      <c r="F745">
        <v>2.7612000000000001</v>
      </c>
      <c r="K745">
        <v>2.6139999999999999</v>
      </c>
      <c r="P745">
        <v>4.4644000000000004</v>
      </c>
      <c r="U745">
        <v>5.1025</v>
      </c>
      <c r="Z745">
        <v>3.9588999999999999</v>
      </c>
      <c r="AE745">
        <v>2.6214</v>
      </c>
      <c r="AJ745">
        <v>1.4003000000000001</v>
      </c>
      <c r="CI745" t="s">
        <v>142</v>
      </c>
    </row>
    <row r="746" spans="1:87" x14ac:dyDescent="0.45">
      <c r="A746" t="s">
        <v>24</v>
      </c>
      <c r="B746" t="s">
        <v>1</v>
      </c>
      <c r="C746" t="s">
        <v>46</v>
      </c>
      <c r="D746" t="s">
        <v>143</v>
      </c>
      <c r="E746" t="s">
        <v>26</v>
      </c>
      <c r="F746">
        <v>1.4151</v>
      </c>
      <c r="K746">
        <v>3.1473</v>
      </c>
      <c r="P746">
        <v>8.5717999999999996</v>
      </c>
      <c r="U746">
        <v>10.0983</v>
      </c>
      <c r="Z746">
        <v>9.2218</v>
      </c>
      <c r="AE746">
        <v>9.8490000000000002</v>
      </c>
      <c r="AJ746">
        <v>10.6572</v>
      </c>
      <c r="CI746" t="s">
        <v>143</v>
      </c>
    </row>
    <row r="747" spans="1:87" x14ac:dyDescent="0.45">
      <c r="A747" t="s">
        <v>24</v>
      </c>
      <c r="B747" t="s">
        <v>1</v>
      </c>
      <c r="C747" t="s">
        <v>46</v>
      </c>
      <c r="D747" t="s">
        <v>144</v>
      </c>
      <c r="E747" t="s">
        <v>26</v>
      </c>
      <c r="F747">
        <v>21.845199999999998</v>
      </c>
      <c r="K747">
        <v>20.846399999999999</v>
      </c>
      <c r="P747">
        <v>15.7173</v>
      </c>
      <c r="U747">
        <v>11.371600000000001</v>
      </c>
      <c r="Z747">
        <v>10.113300000000001</v>
      </c>
      <c r="AE747">
        <v>8.7552000000000003</v>
      </c>
      <c r="AJ747">
        <v>6.8533999999999997</v>
      </c>
      <c r="CI747" t="s">
        <v>144</v>
      </c>
    </row>
    <row r="748" spans="1:87" x14ac:dyDescent="0.45">
      <c r="A748" t="s">
        <v>24</v>
      </c>
      <c r="B748" t="s">
        <v>1</v>
      </c>
      <c r="C748" t="s">
        <v>46</v>
      </c>
      <c r="D748" t="s">
        <v>209</v>
      </c>
      <c r="E748" t="s">
        <v>26</v>
      </c>
      <c r="F748">
        <v>0</v>
      </c>
      <c r="K748">
        <v>0</v>
      </c>
      <c r="P748">
        <v>0</v>
      </c>
      <c r="U748">
        <v>0</v>
      </c>
      <c r="Z748">
        <v>0.25990000000000002</v>
      </c>
      <c r="AE748">
        <v>0.39760000000000001</v>
      </c>
      <c r="AJ748">
        <v>0.3382</v>
      </c>
      <c r="CI748" t="s">
        <v>209</v>
      </c>
    </row>
    <row r="749" spans="1:87" x14ac:dyDescent="0.45">
      <c r="A749" t="s">
        <v>24</v>
      </c>
      <c r="B749" t="s">
        <v>1</v>
      </c>
      <c r="C749" t="s">
        <v>46</v>
      </c>
      <c r="D749" t="s">
        <v>145</v>
      </c>
      <c r="E749" t="s">
        <v>26</v>
      </c>
      <c r="F749">
        <v>21.845199999999998</v>
      </c>
      <c r="K749">
        <v>20.846399999999999</v>
      </c>
      <c r="P749">
        <v>15.7173</v>
      </c>
      <c r="U749">
        <v>11.401300000000001</v>
      </c>
      <c r="Z749">
        <v>9.2422000000000004</v>
      </c>
      <c r="AE749">
        <v>6.8640999999999996</v>
      </c>
      <c r="AJ749">
        <v>4.6920000000000002</v>
      </c>
      <c r="CI749" t="s">
        <v>145</v>
      </c>
    </row>
    <row r="750" spans="1:87" x14ac:dyDescent="0.45">
      <c r="A750" t="s">
        <v>24</v>
      </c>
      <c r="B750" t="s">
        <v>1</v>
      </c>
      <c r="C750" t="s">
        <v>46</v>
      </c>
      <c r="D750" t="s">
        <v>146</v>
      </c>
      <c r="E750" t="s">
        <v>26</v>
      </c>
      <c r="F750">
        <v>0</v>
      </c>
      <c r="K750">
        <v>0</v>
      </c>
      <c r="P750">
        <v>0</v>
      </c>
      <c r="U750">
        <v>0.18360000000000001</v>
      </c>
      <c r="Z750">
        <v>0.97389999999999999</v>
      </c>
      <c r="AE750">
        <v>2.0276000000000001</v>
      </c>
      <c r="AJ750">
        <v>2.3786999999999998</v>
      </c>
      <c r="CI750" t="s">
        <v>146</v>
      </c>
    </row>
    <row r="751" spans="1:87" x14ac:dyDescent="0.45">
      <c r="A751" t="s">
        <v>24</v>
      </c>
      <c r="B751" t="s">
        <v>1</v>
      </c>
      <c r="C751" t="s">
        <v>46</v>
      </c>
      <c r="D751" t="s">
        <v>147</v>
      </c>
      <c r="E751" t="s">
        <v>26</v>
      </c>
      <c r="F751">
        <v>0.32219999999999999</v>
      </c>
      <c r="K751">
        <v>0.38540000000000002</v>
      </c>
      <c r="P751">
        <v>0.67869999999999997</v>
      </c>
      <c r="U751">
        <v>0.51580000000000004</v>
      </c>
      <c r="Z751">
        <v>0.19969999999999999</v>
      </c>
      <c r="AE751">
        <v>0.11119999999999999</v>
      </c>
      <c r="AJ751">
        <v>0.12809999999999999</v>
      </c>
      <c r="CI751" t="s">
        <v>147</v>
      </c>
    </row>
    <row r="752" spans="1:87" x14ac:dyDescent="0.45">
      <c r="A752" t="s">
        <v>24</v>
      </c>
      <c r="B752" t="s">
        <v>1</v>
      </c>
      <c r="C752" t="s">
        <v>46</v>
      </c>
      <c r="D752" t="s">
        <v>148</v>
      </c>
      <c r="E752" t="s">
        <v>26</v>
      </c>
      <c r="F752">
        <v>0.1328</v>
      </c>
      <c r="K752">
        <v>0.1278</v>
      </c>
      <c r="P752">
        <v>0.21310000000000001</v>
      </c>
      <c r="U752">
        <v>0.437</v>
      </c>
      <c r="Z752">
        <v>0.82379999999999998</v>
      </c>
      <c r="AE752">
        <v>1.3889</v>
      </c>
      <c r="AJ752">
        <v>1.5147999999999999</v>
      </c>
      <c r="CI752" t="s">
        <v>148</v>
      </c>
    </row>
    <row r="753" spans="1:87" x14ac:dyDescent="0.45">
      <c r="A753" t="s">
        <v>24</v>
      </c>
      <c r="B753" t="s">
        <v>1</v>
      </c>
      <c r="C753" t="s">
        <v>46</v>
      </c>
      <c r="D753" t="s">
        <v>149</v>
      </c>
      <c r="E753" t="s">
        <v>26</v>
      </c>
      <c r="F753">
        <v>27.6311</v>
      </c>
      <c r="K753">
        <v>23.871200000000002</v>
      </c>
      <c r="P753">
        <v>18.776599999999998</v>
      </c>
      <c r="U753">
        <v>14.554399999999999</v>
      </c>
      <c r="Z753">
        <v>11.3447</v>
      </c>
      <c r="AE753">
        <v>8.8277999999999999</v>
      </c>
      <c r="AJ753">
        <v>6.7648999999999999</v>
      </c>
      <c r="CI753" t="s">
        <v>149</v>
      </c>
    </row>
    <row r="754" spans="1:87" x14ac:dyDescent="0.45">
      <c r="A754" t="s">
        <v>24</v>
      </c>
      <c r="B754" t="s">
        <v>1</v>
      </c>
      <c r="C754" t="s">
        <v>46</v>
      </c>
      <c r="D754" t="s">
        <v>150</v>
      </c>
      <c r="E754" t="s">
        <v>26</v>
      </c>
      <c r="F754">
        <v>2.6353</v>
      </c>
      <c r="K754">
        <v>2.4220999999999999</v>
      </c>
      <c r="P754">
        <v>2.7715000000000001</v>
      </c>
      <c r="U754">
        <v>2.4129</v>
      </c>
      <c r="Z754">
        <v>2.3462999999999998</v>
      </c>
      <c r="AE754">
        <v>2.0749</v>
      </c>
      <c r="AJ754">
        <v>1.8792</v>
      </c>
      <c r="CI754" t="s">
        <v>150</v>
      </c>
    </row>
    <row r="755" spans="1:87" x14ac:dyDescent="0.45">
      <c r="A755" t="s">
        <v>24</v>
      </c>
      <c r="B755" t="s">
        <v>1</v>
      </c>
      <c r="C755" t="s">
        <v>46</v>
      </c>
      <c r="D755" t="s">
        <v>151</v>
      </c>
      <c r="E755" t="s">
        <v>26</v>
      </c>
      <c r="F755">
        <v>4.4000000000000003E-3</v>
      </c>
      <c r="K755">
        <v>0</v>
      </c>
      <c r="P755">
        <v>0</v>
      </c>
      <c r="U755">
        <v>4.4999999999999997E-3</v>
      </c>
      <c r="Z755">
        <v>0</v>
      </c>
      <c r="AE755">
        <v>4.2200000000000001E-2</v>
      </c>
      <c r="AJ755">
        <v>0</v>
      </c>
      <c r="CI755" t="s">
        <v>151</v>
      </c>
    </row>
    <row r="756" spans="1:87" x14ac:dyDescent="0.45">
      <c r="A756" t="s">
        <v>24</v>
      </c>
      <c r="B756" t="s">
        <v>1</v>
      </c>
      <c r="C756" t="s">
        <v>46</v>
      </c>
      <c r="D756" t="s">
        <v>152</v>
      </c>
      <c r="E756" t="s">
        <v>26</v>
      </c>
      <c r="F756">
        <v>24.991599999999998</v>
      </c>
      <c r="K756">
        <v>21.449100000000001</v>
      </c>
      <c r="P756">
        <v>16.005099999999999</v>
      </c>
      <c r="U756">
        <v>12.395899999999999</v>
      </c>
      <c r="Z756">
        <v>9.4139999999999997</v>
      </c>
      <c r="AE756">
        <v>7.1589999999999998</v>
      </c>
      <c r="AJ756">
        <v>5.2836999999999996</v>
      </c>
      <c r="CI756" t="s">
        <v>152</v>
      </c>
    </row>
    <row r="757" spans="1:87" x14ac:dyDescent="0.45">
      <c r="A757" t="s">
        <v>24</v>
      </c>
      <c r="B757" t="s">
        <v>1</v>
      </c>
      <c r="C757" t="s">
        <v>46</v>
      </c>
      <c r="D757" t="s">
        <v>153</v>
      </c>
      <c r="E757" t="s">
        <v>26</v>
      </c>
      <c r="F757">
        <v>0.99509999999999998</v>
      </c>
      <c r="K757">
        <v>1.3346</v>
      </c>
      <c r="P757">
        <v>0.97070000000000001</v>
      </c>
      <c r="U757">
        <v>0.80669999999999997</v>
      </c>
      <c r="Z757">
        <v>0.99399999999999999</v>
      </c>
      <c r="AE757">
        <v>0.93640000000000001</v>
      </c>
      <c r="AJ757">
        <v>0.4194</v>
      </c>
      <c r="CI757" t="s">
        <v>153</v>
      </c>
    </row>
    <row r="758" spans="1:87" x14ac:dyDescent="0.45">
      <c r="A758" t="s">
        <v>24</v>
      </c>
      <c r="B758" t="s">
        <v>1</v>
      </c>
      <c r="C758" t="s">
        <v>46</v>
      </c>
      <c r="D758" t="s">
        <v>154</v>
      </c>
      <c r="E758" t="s">
        <v>26</v>
      </c>
      <c r="F758">
        <v>0.21490000000000001</v>
      </c>
      <c r="K758">
        <v>0.47599999999999998</v>
      </c>
      <c r="P758">
        <v>0.48759999999999998</v>
      </c>
      <c r="U758">
        <v>0.63419999999999999</v>
      </c>
      <c r="Z758">
        <v>0.92810000000000004</v>
      </c>
      <c r="AE758">
        <v>0.88090000000000002</v>
      </c>
      <c r="AJ758">
        <v>0.37590000000000001</v>
      </c>
      <c r="CI758" t="s">
        <v>154</v>
      </c>
    </row>
    <row r="759" spans="1:87" x14ac:dyDescent="0.45">
      <c r="A759" t="s">
        <v>24</v>
      </c>
      <c r="B759" t="s">
        <v>1</v>
      </c>
      <c r="C759" t="s">
        <v>46</v>
      </c>
      <c r="D759" t="s">
        <v>155</v>
      </c>
      <c r="E759" t="s">
        <v>26</v>
      </c>
      <c r="F759">
        <v>0.7802</v>
      </c>
      <c r="K759">
        <v>0.85860000000000003</v>
      </c>
      <c r="P759">
        <v>0.48299999999999998</v>
      </c>
      <c r="U759">
        <v>0.17249999999999999</v>
      </c>
      <c r="Z759">
        <v>6.59E-2</v>
      </c>
      <c r="AE759">
        <v>5.5500000000000001E-2</v>
      </c>
      <c r="AJ759">
        <v>4.3400000000000001E-2</v>
      </c>
      <c r="CI759" t="s">
        <v>155</v>
      </c>
    </row>
    <row r="760" spans="1:87" x14ac:dyDescent="0.45">
      <c r="A760" t="s">
        <v>24</v>
      </c>
      <c r="B760" t="s">
        <v>1</v>
      </c>
      <c r="C760" t="s">
        <v>46</v>
      </c>
      <c r="D760" t="s">
        <v>156</v>
      </c>
      <c r="E760" t="s">
        <v>48</v>
      </c>
      <c r="F760">
        <v>66.248500000000007</v>
      </c>
      <c r="K760">
        <v>54.713900000000002</v>
      </c>
      <c r="P760">
        <v>44.397100000000002</v>
      </c>
      <c r="U760">
        <v>5.4367999999999999</v>
      </c>
      <c r="Z760">
        <v>-18.226099999999999</v>
      </c>
      <c r="AE760">
        <v>-21.166899999999998</v>
      </c>
      <c r="AJ760">
        <v>-12.9893</v>
      </c>
      <c r="CI760" t="s">
        <v>156</v>
      </c>
    </row>
    <row r="761" spans="1:87" x14ac:dyDescent="0.45">
      <c r="A761" t="s">
        <v>24</v>
      </c>
      <c r="B761" t="s">
        <v>1</v>
      </c>
      <c r="C761" t="s">
        <v>46</v>
      </c>
      <c r="D761" t="s">
        <v>157</v>
      </c>
      <c r="E761" t="s">
        <v>48</v>
      </c>
      <c r="F761">
        <v>90.272199999999998</v>
      </c>
      <c r="K761">
        <v>68.635400000000004</v>
      </c>
      <c r="P761">
        <v>32.359400000000001</v>
      </c>
      <c r="U761">
        <v>16.800899999999999</v>
      </c>
      <c r="Z761">
        <v>8.4153000000000002</v>
      </c>
      <c r="AE761">
        <v>2.7519</v>
      </c>
      <c r="CI761" t="s">
        <v>157</v>
      </c>
    </row>
    <row r="762" spans="1:87" x14ac:dyDescent="0.45">
      <c r="A762" t="s">
        <v>24</v>
      </c>
      <c r="B762" t="s">
        <v>1</v>
      </c>
      <c r="C762" t="s">
        <v>46</v>
      </c>
      <c r="D762" t="s">
        <v>158</v>
      </c>
      <c r="E762" t="s">
        <v>48</v>
      </c>
      <c r="F762">
        <v>6.8491</v>
      </c>
      <c r="K762">
        <v>5.7076000000000002</v>
      </c>
      <c r="P762">
        <v>4.5660999999999996</v>
      </c>
      <c r="U762">
        <v>3.4245999999999999</v>
      </c>
      <c r="Z762">
        <v>2.2829999999999999</v>
      </c>
      <c r="AE762">
        <v>1.1415</v>
      </c>
      <c r="CI762" t="s">
        <v>158</v>
      </c>
    </row>
    <row r="763" spans="1:87" x14ac:dyDescent="0.45">
      <c r="A763" t="s">
        <v>24</v>
      </c>
      <c r="B763" t="s">
        <v>1</v>
      </c>
      <c r="C763" t="s">
        <v>46</v>
      </c>
      <c r="D763" t="s">
        <v>159</v>
      </c>
      <c r="E763" t="s">
        <v>48</v>
      </c>
      <c r="F763">
        <v>34.7941</v>
      </c>
      <c r="K763">
        <v>34.7941</v>
      </c>
      <c r="P763">
        <v>34.7941</v>
      </c>
      <c r="U763">
        <v>34.7941</v>
      </c>
      <c r="Z763">
        <v>34.7941</v>
      </c>
      <c r="AE763">
        <v>34.7941</v>
      </c>
      <c r="AJ763">
        <v>34.7941</v>
      </c>
      <c r="CI763" t="s">
        <v>159</v>
      </c>
    </row>
    <row r="764" spans="1:87" x14ac:dyDescent="0.45">
      <c r="A764" t="s">
        <v>24</v>
      </c>
      <c r="B764" t="s">
        <v>1</v>
      </c>
      <c r="C764" t="s">
        <v>46</v>
      </c>
      <c r="D764" t="s">
        <v>160</v>
      </c>
      <c r="E764" t="s">
        <v>66</v>
      </c>
      <c r="F764">
        <v>4.1596000000000002</v>
      </c>
      <c r="K764">
        <v>3.4664000000000001</v>
      </c>
      <c r="P764">
        <v>2.7730999999999999</v>
      </c>
      <c r="U764">
        <v>2.0798000000000001</v>
      </c>
      <c r="Z764">
        <v>1.3865000000000001</v>
      </c>
      <c r="AE764">
        <v>0.69330000000000003</v>
      </c>
      <c r="CI764" t="s">
        <v>160</v>
      </c>
    </row>
    <row r="765" spans="1:87" x14ac:dyDescent="0.45">
      <c r="A765" t="s">
        <v>24</v>
      </c>
      <c r="B765" t="s">
        <v>1</v>
      </c>
      <c r="C765" t="s">
        <v>46</v>
      </c>
      <c r="D765" t="s">
        <v>161</v>
      </c>
      <c r="E765" t="s">
        <v>26</v>
      </c>
      <c r="F765">
        <v>-1.4368000000000001</v>
      </c>
      <c r="K765">
        <v>-1.1229</v>
      </c>
      <c r="P765">
        <v>-1.0212000000000001</v>
      </c>
      <c r="U765">
        <v>7.4700000000000003E-2</v>
      </c>
      <c r="Z765">
        <v>0.48099999999999998</v>
      </c>
      <c r="AE765">
        <v>0.33239999999999997</v>
      </c>
      <c r="AJ765">
        <v>0</v>
      </c>
      <c r="CI765" t="s">
        <v>161</v>
      </c>
    </row>
    <row r="766" spans="1:87" x14ac:dyDescent="0.45">
      <c r="A766" t="s">
        <v>24</v>
      </c>
      <c r="B766" t="s">
        <v>1</v>
      </c>
      <c r="C766" t="s">
        <v>46</v>
      </c>
      <c r="D766" t="s">
        <v>162</v>
      </c>
      <c r="E766" t="s">
        <v>26</v>
      </c>
      <c r="F766">
        <v>-0.29089999999999999</v>
      </c>
      <c r="K766">
        <v>-0.24099999999999999</v>
      </c>
      <c r="P766">
        <v>-0.21310000000000001</v>
      </c>
      <c r="U766">
        <v>-0.1426</v>
      </c>
      <c r="Z766">
        <v>-0.1033</v>
      </c>
      <c r="AE766">
        <v>-4.7899999999999998E-2</v>
      </c>
      <c r="CI766" t="s">
        <v>162</v>
      </c>
    </row>
    <row r="767" spans="1:87" x14ac:dyDescent="0.45">
      <c r="A767" t="s">
        <v>24</v>
      </c>
      <c r="B767" t="s">
        <v>1</v>
      </c>
      <c r="C767" t="s">
        <v>46</v>
      </c>
      <c r="D767" t="s">
        <v>163</v>
      </c>
      <c r="E767" t="s">
        <v>26</v>
      </c>
      <c r="F767">
        <v>-0.49299999999999999</v>
      </c>
      <c r="K767">
        <v>-0.2135</v>
      </c>
      <c r="P767">
        <v>-3.4599999999999999E-2</v>
      </c>
      <c r="U767">
        <v>-1.01E-2</v>
      </c>
      <c r="Z767">
        <v>-1.4E-3</v>
      </c>
      <c r="AE767">
        <v>-2.9999999999999997E-4</v>
      </c>
      <c r="AJ767">
        <v>0</v>
      </c>
      <c r="CI767" t="s">
        <v>163</v>
      </c>
    </row>
    <row r="768" spans="1:87" x14ac:dyDescent="0.45">
      <c r="A768" t="s">
        <v>24</v>
      </c>
      <c r="B768" t="s">
        <v>1</v>
      </c>
      <c r="C768" t="s">
        <v>46</v>
      </c>
      <c r="D768" t="s">
        <v>164</v>
      </c>
      <c r="E768" t="s">
        <v>26</v>
      </c>
      <c r="F768">
        <v>-0.49299999999999999</v>
      </c>
      <c r="K768">
        <v>-0.2135</v>
      </c>
      <c r="P768">
        <v>-3.4500000000000003E-2</v>
      </c>
      <c r="U768">
        <v>-1.01E-2</v>
      </c>
      <c r="Z768">
        <v>-1.4E-3</v>
      </c>
      <c r="AE768">
        <v>-2.9999999999999997E-4</v>
      </c>
      <c r="CI768" t="s">
        <v>164</v>
      </c>
    </row>
    <row r="769" spans="1:87" x14ac:dyDescent="0.45">
      <c r="A769" t="s">
        <v>24</v>
      </c>
      <c r="B769" t="s">
        <v>1</v>
      </c>
      <c r="C769" t="s">
        <v>46</v>
      </c>
      <c r="D769" t="s">
        <v>165</v>
      </c>
      <c r="E769" t="s">
        <v>26</v>
      </c>
      <c r="F769">
        <v>0.32779999999999998</v>
      </c>
      <c r="K769">
        <v>0.24560000000000001</v>
      </c>
      <c r="P769">
        <v>0.1076</v>
      </c>
      <c r="U769">
        <v>-0.51500000000000001</v>
      </c>
      <c r="Z769">
        <v>-0.91010000000000002</v>
      </c>
      <c r="AE769">
        <v>-1.0981000000000001</v>
      </c>
      <c r="AJ769">
        <v>-1.0086999999999999</v>
      </c>
      <c r="CI769" t="s">
        <v>165</v>
      </c>
    </row>
    <row r="770" spans="1:87" x14ac:dyDescent="0.45">
      <c r="A770" t="s">
        <v>24</v>
      </c>
      <c r="B770" t="s">
        <v>1</v>
      </c>
      <c r="C770" t="s">
        <v>46</v>
      </c>
      <c r="D770" t="s">
        <v>166</v>
      </c>
      <c r="E770" t="s">
        <v>26</v>
      </c>
      <c r="P770">
        <v>-1E-4</v>
      </c>
      <c r="U770">
        <v>-2.35E-2</v>
      </c>
      <c r="Z770">
        <v>-4.6800000000000001E-2</v>
      </c>
      <c r="AE770">
        <v>-0.124</v>
      </c>
      <c r="AJ770">
        <v>-0.2039</v>
      </c>
      <c r="CI770" t="s">
        <v>166</v>
      </c>
    </row>
    <row r="771" spans="1:87" x14ac:dyDescent="0.45">
      <c r="A771" t="s">
        <v>24</v>
      </c>
      <c r="B771" t="s">
        <v>1</v>
      </c>
      <c r="C771" t="s">
        <v>46</v>
      </c>
      <c r="D771" t="s">
        <v>167</v>
      </c>
      <c r="E771" t="s">
        <v>26</v>
      </c>
      <c r="F771">
        <v>0.32779999999999998</v>
      </c>
      <c r="K771">
        <v>0.24560000000000001</v>
      </c>
      <c r="P771">
        <v>0.1205</v>
      </c>
      <c r="U771">
        <v>-0.47599999999999998</v>
      </c>
      <c r="Z771">
        <v>-0.85460000000000003</v>
      </c>
      <c r="AE771">
        <v>-0.9667</v>
      </c>
      <c r="AJ771">
        <v>-0.80479999999999996</v>
      </c>
      <c r="CI771" t="s">
        <v>167</v>
      </c>
    </row>
    <row r="772" spans="1:87" x14ac:dyDescent="0.45">
      <c r="A772" t="s">
        <v>24</v>
      </c>
      <c r="B772" t="s">
        <v>1</v>
      </c>
      <c r="C772" t="s">
        <v>46</v>
      </c>
      <c r="D772" t="s">
        <v>168</v>
      </c>
      <c r="E772" t="s">
        <v>26</v>
      </c>
      <c r="F772">
        <v>-1.0234000000000001</v>
      </c>
      <c r="K772">
        <v>-0.83130000000000004</v>
      </c>
      <c r="P772">
        <v>-0.48649999999999999</v>
      </c>
      <c r="U772">
        <v>-0.2432</v>
      </c>
      <c r="Z772">
        <v>-0.12920000000000001</v>
      </c>
      <c r="AE772">
        <v>-4.2099999999999999E-2</v>
      </c>
      <c r="AJ772">
        <v>0</v>
      </c>
      <c r="CI772" t="s">
        <v>168</v>
      </c>
    </row>
    <row r="773" spans="1:87" x14ac:dyDescent="0.45">
      <c r="A773" t="s">
        <v>24</v>
      </c>
      <c r="B773" t="s">
        <v>1</v>
      </c>
      <c r="C773" t="s">
        <v>46</v>
      </c>
      <c r="D773" t="s">
        <v>169</v>
      </c>
      <c r="E773" t="s">
        <v>26</v>
      </c>
      <c r="F773">
        <v>-1.0234000000000001</v>
      </c>
      <c r="K773">
        <v>-0.83130000000000004</v>
      </c>
      <c r="P773">
        <v>-0.48609999999999998</v>
      </c>
      <c r="U773">
        <v>-0.24260000000000001</v>
      </c>
      <c r="Z773">
        <v>-0.129</v>
      </c>
      <c r="AE773">
        <v>-4.2099999999999999E-2</v>
      </c>
      <c r="CI773" t="s">
        <v>169</v>
      </c>
    </row>
    <row r="774" spans="1:87" x14ac:dyDescent="0.45">
      <c r="A774" t="s">
        <v>24</v>
      </c>
      <c r="B774" t="s">
        <v>1</v>
      </c>
      <c r="C774" t="s">
        <v>46</v>
      </c>
      <c r="D774" t="s">
        <v>170</v>
      </c>
      <c r="E774" t="s">
        <v>26</v>
      </c>
      <c r="F774">
        <v>1.18E-2</v>
      </c>
      <c r="K774">
        <v>1.1599999999999999E-2</v>
      </c>
      <c r="P774">
        <v>2.0199999999999999E-2</v>
      </c>
      <c r="U774">
        <v>2.6599999999999999E-2</v>
      </c>
      <c r="Z774">
        <v>2.86E-2</v>
      </c>
      <c r="AE774">
        <v>2.1999999999999999E-2</v>
      </c>
      <c r="CI774" t="s">
        <v>170</v>
      </c>
    </row>
    <row r="775" spans="1:87" x14ac:dyDescent="0.45">
      <c r="A775" t="s">
        <v>24</v>
      </c>
      <c r="B775" t="s">
        <v>1</v>
      </c>
      <c r="C775" t="s">
        <v>46</v>
      </c>
      <c r="D775" t="s">
        <v>171</v>
      </c>
      <c r="E775" t="s">
        <v>26</v>
      </c>
      <c r="F775">
        <v>-0.1459</v>
      </c>
      <c r="K775">
        <v>-0.1207</v>
      </c>
      <c r="P775">
        <v>-0.1258</v>
      </c>
      <c r="U775">
        <v>-8.7099999999999997E-2</v>
      </c>
      <c r="Z775">
        <v>-5.7599999999999998E-2</v>
      </c>
      <c r="AE775">
        <v>-2.98E-2</v>
      </c>
      <c r="CI775" t="s">
        <v>171</v>
      </c>
    </row>
    <row r="776" spans="1:87" x14ac:dyDescent="0.45">
      <c r="A776" t="s">
        <v>24</v>
      </c>
      <c r="B776" t="s">
        <v>1</v>
      </c>
      <c r="C776" t="s">
        <v>46</v>
      </c>
      <c r="D776" t="s">
        <v>172</v>
      </c>
      <c r="E776" t="s">
        <v>26</v>
      </c>
      <c r="F776">
        <v>-4.2999999999999997E-2</v>
      </c>
      <c r="K776">
        <v>-3.6499999999999998E-2</v>
      </c>
      <c r="P776">
        <v>-3.2500000000000001E-2</v>
      </c>
      <c r="U776">
        <v>-2.2700000000000001E-2</v>
      </c>
      <c r="Z776">
        <v>-1.6799999999999999E-2</v>
      </c>
      <c r="AE776">
        <v>-8.8999999999999999E-3</v>
      </c>
      <c r="CI776" t="s">
        <v>172</v>
      </c>
    </row>
    <row r="777" spans="1:87" x14ac:dyDescent="0.45">
      <c r="A777" t="s">
        <v>24</v>
      </c>
      <c r="B777" t="s">
        <v>1</v>
      </c>
      <c r="C777" t="s">
        <v>46</v>
      </c>
      <c r="D777" t="s">
        <v>173</v>
      </c>
      <c r="E777" t="s">
        <v>26</v>
      </c>
      <c r="F777">
        <v>0.51729999999999998</v>
      </c>
      <c r="K777">
        <v>0.45150000000000001</v>
      </c>
      <c r="P777">
        <v>0.24679999999999999</v>
      </c>
      <c r="U777">
        <v>0.13639999999999999</v>
      </c>
      <c r="Z777">
        <v>6.9800000000000001E-2</v>
      </c>
      <c r="AE777">
        <v>2.6700000000000002E-2</v>
      </c>
      <c r="CI777" t="s">
        <v>173</v>
      </c>
    </row>
    <row r="778" spans="1:87" x14ac:dyDescent="0.45">
      <c r="A778" t="s">
        <v>24</v>
      </c>
      <c r="B778" t="s">
        <v>1</v>
      </c>
      <c r="C778" t="s">
        <v>46</v>
      </c>
      <c r="D778" t="s">
        <v>174</v>
      </c>
      <c r="E778" t="s">
        <v>26</v>
      </c>
      <c r="F778">
        <v>0.51729999999999998</v>
      </c>
      <c r="K778">
        <v>0.45150000000000001</v>
      </c>
      <c r="P778">
        <v>0.24679999999999999</v>
      </c>
      <c r="U778">
        <v>0.13639999999999999</v>
      </c>
      <c r="Z778">
        <v>6.9800000000000001E-2</v>
      </c>
      <c r="AE778">
        <v>2.6700000000000002E-2</v>
      </c>
      <c r="CI778" t="s">
        <v>174</v>
      </c>
    </row>
    <row r="779" spans="1:87" x14ac:dyDescent="0.45">
      <c r="A779" t="s">
        <v>24</v>
      </c>
      <c r="B779" t="s">
        <v>1</v>
      </c>
      <c r="C779" t="s">
        <v>46</v>
      </c>
      <c r="D779" t="s">
        <v>175</v>
      </c>
      <c r="E779" t="s">
        <v>26</v>
      </c>
      <c r="F779">
        <v>0.38379999999999997</v>
      </c>
      <c r="K779">
        <v>0.51239999999999997</v>
      </c>
      <c r="P779">
        <v>1.0323</v>
      </c>
      <c r="U779">
        <v>1.6633</v>
      </c>
      <c r="Z779">
        <v>1.4429000000000001</v>
      </c>
      <c r="AE779">
        <v>0.81320000000000003</v>
      </c>
      <c r="CI779" t="s">
        <v>175</v>
      </c>
    </row>
    <row r="780" spans="1:87" x14ac:dyDescent="0.45">
      <c r="A780" t="s">
        <v>24</v>
      </c>
      <c r="B780" t="s">
        <v>1</v>
      </c>
      <c r="C780" t="s">
        <v>46</v>
      </c>
      <c r="D780" t="s">
        <v>176</v>
      </c>
      <c r="E780" t="s">
        <v>26</v>
      </c>
      <c r="F780">
        <v>-0.35360000000000003</v>
      </c>
      <c r="K780">
        <v>-0.65539999999999998</v>
      </c>
      <c r="P780">
        <v>-1.4278999999999999</v>
      </c>
      <c r="U780">
        <v>-1.2459</v>
      </c>
      <c r="Z780">
        <v>-0.75209999999999999</v>
      </c>
      <c r="AE780">
        <v>-0.40039999999999998</v>
      </c>
      <c r="CI780" t="s">
        <v>176</v>
      </c>
    </row>
    <row r="781" spans="1:87" x14ac:dyDescent="0.45">
      <c r="A781" t="s">
        <v>24</v>
      </c>
      <c r="B781" t="s">
        <v>1</v>
      </c>
      <c r="C781" t="s">
        <v>46</v>
      </c>
      <c r="D781" t="s">
        <v>177</v>
      </c>
      <c r="E781" t="s">
        <v>26</v>
      </c>
      <c r="F781">
        <v>-1.4636</v>
      </c>
      <c r="K781">
        <v>-1.6878</v>
      </c>
      <c r="P781">
        <v>-2.9028999999999998</v>
      </c>
      <c r="U781">
        <v>-3.2545999999999999</v>
      </c>
      <c r="Z781">
        <v>-2.3466</v>
      </c>
      <c r="AE781">
        <v>-1.1819999999999999</v>
      </c>
      <c r="AJ781">
        <v>-8.9999999999999998E-4</v>
      </c>
      <c r="CI781" t="s">
        <v>177</v>
      </c>
    </row>
    <row r="782" spans="1:87" x14ac:dyDescent="0.45">
      <c r="A782" t="s">
        <v>24</v>
      </c>
      <c r="B782" t="s">
        <v>1</v>
      </c>
      <c r="C782" t="s">
        <v>46</v>
      </c>
      <c r="D782" t="s">
        <v>178</v>
      </c>
      <c r="E782" t="s">
        <v>26</v>
      </c>
      <c r="F782">
        <v>-0.34350000000000003</v>
      </c>
      <c r="K782">
        <v>-0.30249999999999999</v>
      </c>
      <c r="P782">
        <v>-0.16520000000000001</v>
      </c>
      <c r="U782">
        <v>-0.10150000000000001</v>
      </c>
      <c r="Z782">
        <v>-6.0900000000000003E-2</v>
      </c>
      <c r="AE782">
        <v>-1.23E-2</v>
      </c>
      <c r="CI782" t="s">
        <v>178</v>
      </c>
    </row>
    <row r="783" spans="1:87" x14ac:dyDescent="0.45">
      <c r="A783" t="s">
        <v>24</v>
      </c>
      <c r="B783" t="s">
        <v>1</v>
      </c>
      <c r="C783" t="s">
        <v>46</v>
      </c>
      <c r="D783" t="s">
        <v>179</v>
      </c>
      <c r="E783" t="s">
        <v>26</v>
      </c>
      <c r="F783">
        <v>0.1507</v>
      </c>
      <c r="K783">
        <v>6.4600000000000005E-2</v>
      </c>
      <c r="P783">
        <v>6.7000000000000002E-3</v>
      </c>
      <c r="U783">
        <v>3.0000000000000001E-3</v>
      </c>
      <c r="Z783">
        <v>2.0000000000000001E-4</v>
      </c>
      <c r="AE783">
        <v>2.0000000000000001E-4</v>
      </c>
      <c r="CI783" t="s">
        <v>179</v>
      </c>
    </row>
    <row r="784" spans="1:87" x14ac:dyDescent="0.45">
      <c r="A784" t="s">
        <v>24</v>
      </c>
      <c r="B784" t="s">
        <v>1</v>
      </c>
      <c r="C784" t="s">
        <v>46</v>
      </c>
      <c r="D784" t="s">
        <v>180</v>
      </c>
      <c r="E784" t="s">
        <v>26</v>
      </c>
      <c r="F784">
        <v>-0.30030000000000001</v>
      </c>
      <c r="K784">
        <v>-0.35370000000000001</v>
      </c>
      <c r="P784">
        <v>-0.15479999999999999</v>
      </c>
      <c r="U784">
        <v>-1.9199999999999998E-2</v>
      </c>
      <c r="Z784">
        <v>-6.6E-3</v>
      </c>
      <c r="AE784">
        <v>-3.2000000000000002E-3</v>
      </c>
      <c r="CI784" t="s">
        <v>180</v>
      </c>
    </row>
    <row r="785" spans="1:87" x14ac:dyDescent="0.45">
      <c r="A785" t="s">
        <v>24</v>
      </c>
      <c r="B785" t="s">
        <v>1</v>
      </c>
      <c r="C785" t="s">
        <v>46</v>
      </c>
      <c r="D785" t="s">
        <v>181</v>
      </c>
      <c r="E785" t="s">
        <v>26</v>
      </c>
      <c r="F785">
        <v>1.7399999999999999E-2</v>
      </c>
      <c r="K785">
        <v>1.95E-2</v>
      </c>
      <c r="P785">
        <v>3.61E-2</v>
      </c>
      <c r="U785">
        <v>4.9500000000000002E-2</v>
      </c>
      <c r="Z785">
        <v>5.57E-2</v>
      </c>
      <c r="AE785">
        <v>4.4400000000000002E-2</v>
      </c>
      <c r="CI785" t="s">
        <v>181</v>
      </c>
    </row>
    <row r="786" spans="1:87" x14ac:dyDescent="0.45">
      <c r="A786" t="s">
        <v>24</v>
      </c>
      <c r="B786" t="s">
        <v>1</v>
      </c>
      <c r="C786" t="s">
        <v>46</v>
      </c>
      <c r="D786" t="s">
        <v>182</v>
      </c>
      <c r="E786" t="s">
        <v>26</v>
      </c>
      <c r="F786">
        <v>-0.1459</v>
      </c>
      <c r="K786">
        <v>-0.1207</v>
      </c>
      <c r="P786">
        <v>-0.1258</v>
      </c>
      <c r="U786">
        <v>-9.7000000000000003E-2</v>
      </c>
      <c r="Z786">
        <v>-6.6400000000000001E-2</v>
      </c>
      <c r="AE786">
        <v>-3.3799999999999997E-2</v>
      </c>
      <c r="CI786" t="s">
        <v>182</v>
      </c>
    </row>
    <row r="787" spans="1:87" x14ac:dyDescent="0.45">
      <c r="A787" t="s">
        <v>24</v>
      </c>
      <c r="B787" t="s">
        <v>1</v>
      </c>
      <c r="C787" t="s">
        <v>46</v>
      </c>
      <c r="D787" t="s">
        <v>183</v>
      </c>
      <c r="E787" t="s">
        <v>26</v>
      </c>
      <c r="F787">
        <v>-4.6600000000000003E-2</v>
      </c>
      <c r="K787">
        <v>-3.95E-2</v>
      </c>
      <c r="P787">
        <v>-3.4799999999999998E-2</v>
      </c>
      <c r="U787">
        <v>-2.4199999999999999E-2</v>
      </c>
      <c r="Z787">
        <v>-1.8100000000000002E-2</v>
      </c>
      <c r="AE787">
        <v>-9.7000000000000003E-3</v>
      </c>
      <c r="CI787" t="s">
        <v>183</v>
      </c>
    </row>
    <row r="788" spans="1:87" x14ac:dyDescent="0.45">
      <c r="A788" t="s">
        <v>24</v>
      </c>
      <c r="B788" t="s">
        <v>1</v>
      </c>
      <c r="C788" t="s">
        <v>46</v>
      </c>
      <c r="D788" t="s">
        <v>184</v>
      </c>
      <c r="E788" t="s">
        <v>26</v>
      </c>
      <c r="F788">
        <v>-5.62E-2</v>
      </c>
      <c r="K788">
        <v>-4.1500000000000002E-2</v>
      </c>
      <c r="P788">
        <v>-4.1999999999999997E-3</v>
      </c>
      <c r="CI788" t="s">
        <v>184</v>
      </c>
    </row>
    <row r="789" spans="1:87" x14ac:dyDescent="0.45">
      <c r="A789" t="s">
        <v>24</v>
      </c>
      <c r="B789" t="s">
        <v>1</v>
      </c>
      <c r="C789" t="s">
        <v>46</v>
      </c>
      <c r="D789" t="s">
        <v>185</v>
      </c>
      <c r="E789" t="s">
        <v>26</v>
      </c>
      <c r="F789">
        <v>-0.34810000000000002</v>
      </c>
      <c r="K789">
        <v>-0.25750000000000001</v>
      </c>
      <c r="P789">
        <v>-1.1294999999999999</v>
      </c>
      <c r="U789">
        <v>-1.9174</v>
      </c>
      <c r="Z789">
        <v>-1.5533999999999999</v>
      </c>
      <c r="AE789">
        <v>-0.78159999999999996</v>
      </c>
      <c r="CI789" t="s">
        <v>185</v>
      </c>
    </row>
    <row r="790" spans="1:87" x14ac:dyDescent="0.45">
      <c r="A790" t="s">
        <v>24</v>
      </c>
      <c r="B790" t="s">
        <v>1</v>
      </c>
      <c r="C790" t="s">
        <v>46</v>
      </c>
      <c r="D790" t="s">
        <v>186</v>
      </c>
      <c r="E790" t="s">
        <v>26</v>
      </c>
      <c r="F790">
        <v>-0.35360000000000003</v>
      </c>
      <c r="K790">
        <v>-0.65539999999999998</v>
      </c>
      <c r="P790">
        <v>-1.4278999999999999</v>
      </c>
      <c r="U790">
        <v>-1.2617</v>
      </c>
      <c r="Z790">
        <v>-0.7681</v>
      </c>
      <c r="AE790">
        <v>-0.41020000000000001</v>
      </c>
      <c r="CI790" t="s">
        <v>186</v>
      </c>
    </row>
    <row r="791" spans="1:87" x14ac:dyDescent="0.45">
      <c r="A791" t="s">
        <v>24</v>
      </c>
      <c r="B791" t="s">
        <v>1</v>
      </c>
      <c r="C791" t="s">
        <v>46</v>
      </c>
      <c r="D791" t="s">
        <v>187</v>
      </c>
      <c r="E791" t="s">
        <v>26</v>
      </c>
      <c r="F791">
        <v>0</v>
      </c>
      <c r="K791">
        <v>0</v>
      </c>
      <c r="P791">
        <v>-0.40899999999999997</v>
      </c>
      <c r="U791">
        <v>0.28029999999999999</v>
      </c>
      <c r="Z791">
        <v>-0.20180000000000001</v>
      </c>
      <c r="AE791">
        <v>0.35349999999999998</v>
      </c>
      <c r="AJ791">
        <v>1.2774000000000001</v>
      </c>
      <c r="CI791" t="s">
        <v>187</v>
      </c>
    </row>
    <row r="792" spans="1:87" x14ac:dyDescent="0.45">
      <c r="A792" t="s">
        <v>24</v>
      </c>
      <c r="B792" t="s">
        <v>1</v>
      </c>
      <c r="C792" t="s">
        <v>46</v>
      </c>
      <c r="D792" t="s">
        <v>188</v>
      </c>
      <c r="E792" t="s">
        <v>26</v>
      </c>
      <c r="F792">
        <v>0</v>
      </c>
      <c r="K792">
        <v>0</v>
      </c>
      <c r="P792">
        <v>0.30480000000000002</v>
      </c>
      <c r="U792">
        <v>0.7177</v>
      </c>
      <c r="Z792">
        <v>1.2166999999999999</v>
      </c>
      <c r="AE792">
        <v>1.9340999999999999</v>
      </c>
      <c r="AJ792">
        <v>2.2010000000000001</v>
      </c>
      <c r="CI792" t="s">
        <v>188</v>
      </c>
    </row>
    <row r="793" spans="1:87" x14ac:dyDescent="0.45">
      <c r="A793" t="s">
        <v>24</v>
      </c>
      <c r="B793" t="s">
        <v>1</v>
      </c>
      <c r="C793" t="s">
        <v>46</v>
      </c>
      <c r="D793" t="s">
        <v>189</v>
      </c>
      <c r="E793" t="s">
        <v>26</v>
      </c>
      <c r="F793">
        <v>-0.32590000000000002</v>
      </c>
      <c r="K793">
        <v>-0.52649999999999997</v>
      </c>
      <c r="P793">
        <v>-0.17399999999999999</v>
      </c>
      <c r="U793">
        <v>0.34139999999999998</v>
      </c>
      <c r="Z793">
        <v>6.4100000000000004E-2</v>
      </c>
      <c r="AE793">
        <v>1.0800000000000001E-2</v>
      </c>
      <c r="AJ793">
        <v>8.6E-3</v>
      </c>
      <c r="CI793" t="s">
        <v>189</v>
      </c>
    </row>
    <row r="794" spans="1:87" x14ac:dyDescent="0.45">
      <c r="A794" t="s">
        <v>24</v>
      </c>
      <c r="B794" t="s">
        <v>1</v>
      </c>
      <c r="C794" t="s">
        <v>46</v>
      </c>
      <c r="D794" t="s">
        <v>190</v>
      </c>
      <c r="E794" t="s">
        <v>26</v>
      </c>
      <c r="F794">
        <v>-8.4821000000000009</v>
      </c>
      <c r="K794">
        <v>-6.5762999999999998</v>
      </c>
      <c r="P794">
        <v>-4.6901000000000002</v>
      </c>
      <c r="U794">
        <v>-3.5083000000000002</v>
      </c>
      <c r="Z794">
        <v>-2.5539000000000001</v>
      </c>
      <c r="AE794">
        <v>-1.8573</v>
      </c>
      <c r="AJ794">
        <v>-1.3041</v>
      </c>
      <c r="CI794" t="s">
        <v>190</v>
      </c>
    </row>
    <row r="795" spans="1:87" x14ac:dyDescent="0.45">
      <c r="A795" t="s">
        <v>24</v>
      </c>
      <c r="B795" t="s">
        <v>1</v>
      </c>
      <c r="C795" t="s">
        <v>46</v>
      </c>
      <c r="D795" t="s">
        <v>191</v>
      </c>
      <c r="E795" t="s">
        <v>26</v>
      </c>
      <c r="F795">
        <v>68.188800196510371</v>
      </c>
      <c r="K795">
        <v>68.647579885451108</v>
      </c>
      <c r="P795">
        <v>65.579004961547611</v>
      </c>
      <c r="U795">
        <v>62.357199918598837</v>
      </c>
      <c r="Z795">
        <v>60.439280050396107</v>
      </c>
      <c r="AE795">
        <v>60.022560025654712</v>
      </c>
      <c r="AJ795">
        <v>60.946254999586102</v>
      </c>
      <c r="CI795" t="s">
        <v>191</v>
      </c>
    </row>
    <row r="796" spans="1:87" x14ac:dyDescent="0.45">
      <c r="A796" t="s">
        <v>24</v>
      </c>
      <c r="B796" t="s">
        <v>1</v>
      </c>
      <c r="C796" t="s">
        <v>46</v>
      </c>
      <c r="D796" t="s">
        <v>192</v>
      </c>
      <c r="E796" t="s">
        <v>26</v>
      </c>
      <c r="F796">
        <v>14.844345199136701</v>
      </c>
      <c r="K796">
        <v>13.711795215491961</v>
      </c>
      <c r="P796">
        <v>17.496865824959261</v>
      </c>
      <c r="U796">
        <v>17.700874985249541</v>
      </c>
      <c r="Z796">
        <v>17.296615069427961</v>
      </c>
      <c r="AE796">
        <v>17.835100006055651</v>
      </c>
      <c r="AJ796">
        <v>18.121679999931811</v>
      </c>
      <c r="CI796" t="s">
        <v>192</v>
      </c>
    </row>
    <row r="797" spans="1:87" x14ac:dyDescent="0.45">
      <c r="A797" t="s">
        <v>24</v>
      </c>
      <c r="B797" t="s">
        <v>1</v>
      </c>
      <c r="C797" t="s">
        <v>46</v>
      </c>
      <c r="D797" t="s">
        <v>193</v>
      </c>
      <c r="E797" t="s">
        <v>26</v>
      </c>
      <c r="F797">
        <v>2.4440401102574469</v>
      </c>
      <c r="K797">
        <v>2.537640036625703</v>
      </c>
      <c r="P797">
        <v>2.9806799957592021</v>
      </c>
      <c r="U797">
        <v>3.4515600040036389</v>
      </c>
      <c r="Z797">
        <v>3.8490000015270311</v>
      </c>
      <c r="AE797">
        <v>4.2619200013764429</v>
      </c>
      <c r="AJ797">
        <v>4.7045999998792576</v>
      </c>
      <c r="CI797" t="s">
        <v>193</v>
      </c>
    </row>
    <row r="798" spans="1:87" x14ac:dyDescent="0.45">
      <c r="A798" t="s">
        <v>24</v>
      </c>
      <c r="B798" t="s">
        <v>1</v>
      </c>
      <c r="C798" t="s">
        <v>46</v>
      </c>
      <c r="D798" t="s">
        <v>194</v>
      </c>
      <c r="E798" t="s">
        <v>26</v>
      </c>
      <c r="F798">
        <v>6.6413550627430604</v>
      </c>
      <c r="K798">
        <v>4.6516051265853378</v>
      </c>
      <c r="P798">
        <v>5.4638851077296522</v>
      </c>
      <c r="U798">
        <v>5.6810249851205512</v>
      </c>
      <c r="Z798">
        <v>5.1738750382805847</v>
      </c>
      <c r="AE798">
        <v>5.1418500001908001</v>
      </c>
      <c r="AJ798">
        <v>5.1019500000040594</v>
      </c>
      <c r="CI798" t="s">
        <v>194</v>
      </c>
    </row>
    <row r="799" spans="1:87" x14ac:dyDescent="0.45">
      <c r="A799" t="s">
        <v>24</v>
      </c>
      <c r="B799" t="s">
        <v>1</v>
      </c>
      <c r="C799" t="s">
        <v>46</v>
      </c>
      <c r="D799" t="s">
        <v>195</v>
      </c>
      <c r="E799" t="s">
        <v>26</v>
      </c>
      <c r="F799">
        <v>3.8563712223549373E-9</v>
      </c>
      <c r="K799">
        <v>0.1131900048741956</v>
      </c>
      <c r="P799">
        <v>0.31140998355003191</v>
      </c>
      <c r="U799">
        <v>0.57200001440471482</v>
      </c>
      <c r="Z799">
        <v>0.31768001179625571</v>
      </c>
      <c r="AE799">
        <v>0.2233000016605437</v>
      </c>
      <c r="AJ799">
        <v>0.30183999998072991</v>
      </c>
      <c r="CI799" t="s">
        <v>195</v>
      </c>
    </row>
    <row r="800" spans="1:87" x14ac:dyDescent="0.45">
      <c r="A800" t="s">
        <v>24</v>
      </c>
      <c r="B800" t="s">
        <v>1</v>
      </c>
      <c r="C800" t="s">
        <v>46</v>
      </c>
      <c r="D800" t="s">
        <v>196</v>
      </c>
      <c r="E800" t="s">
        <v>26</v>
      </c>
      <c r="F800">
        <v>5.1743569429163472E-9</v>
      </c>
      <c r="K800">
        <v>8.3930001031908799E-2</v>
      </c>
      <c r="P800">
        <v>0.19459001071566101</v>
      </c>
      <c r="U800">
        <v>0.2610300015183995</v>
      </c>
      <c r="Z800">
        <v>0.27918001132786679</v>
      </c>
      <c r="AE800">
        <v>0.4279000028925139</v>
      </c>
      <c r="AJ800">
        <v>0.81410999995591249</v>
      </c>
      <c r="CI800" t="s">
        <v>196</v>
      </c>
    </row>
    <row r="801" spans="1:87" x14ac:dyDescent="0.45">
      <c r="A801" t="s">
        <v>24</v>
      </c>
      <c r="B801" t="s">
        <v>1</v>
      </c>
      <c r="C801" t="s">
        <v>46</v>
      </c>
      <c r="D801" t="s">
        <v>197</v>
      </c>
      <c r="E801" t="s">
        <v>26</v>
      </c>
      <c r="F801">
        <v>4.8432000081647857</v>
      </c>
      <c r="K801">
        <v>5.1602000423803247</v>
      </c>
      <c r="P801">
        <v>7.08650053442841</v>
      </c>
      <c r="U801">
        <v>6.7529999881561524</v>
      </c>
      <c r="Z801">
        <v>6.7911000057043793</v>
      </c>
      <c r="AE801">
        <v>6.9793999900378054</v>
      </c>
      <c r="AJ801">
        <v>6.8300000000429231</v>
      </c>
      <c r="CI801" t="s">
        <v>197</v>
      </c>
    </row>
    <row r="802" spans="1:87" x14ac:dyDescent="0.45">
      <c r="A802" t="s">
        <v>24</v>
      </c>
      <c r="B802" t="s">
        <v>1</v>
      </c>
      <c r="C802" t="s">
        <v>46</v>
      </c>
      <c r="D802" t="s">
        <v>198</v>
      </c>
      <c r="E802" t="s">
        <v>26</v>
      </c>
      <c r="F802">
        <v>0.91575000894067682</v>
      </c>
      <c r="K802">
        <v>1.165230003994487</v>
      </c>
      <c r="P802">
        <v>1.4598001927762989</v>
      </c>
      <c r="U802">
        <v>0.98225999204608883</v>
      </c>
      <c r="Z802">
        <v>0.88578000079184704</v>
      </c>
      <c r="AE802">
        <v>0.80073000989754206</v>
      </c>
      <c r="AJ802">
        <v>0.3691800000689292</v>
      </c>
      <c r="CI802" t="s">
        <v>198</v>
      </c>
    </row>
    <row r="803" spans="1:87" x14ac:dyDescent="0.45">
      <c r="A803" t="s">
        <v>24</v>
      </c>
      <c r="B803" t="s">
        <v>1</v>
      </c>
      <c r="C803" t="s">
        <v>46</v>
      </c>
      <c r="D803" t="s">
        <v>199</v>
      </c>
      <c r="E803" t="s">
        <v>26</v>
      </c>
      <c r="F803">
        <v>27.89445497724952</v>
      </c>
      <c r="K803">
        <v>28.8972849104379</v>
      </c>
      <c r="P803">
        <v>27.470494843925</v>
      </c>
      <c r="U803">
        <v>26.735609957169011</v>
      </c>
      <c r="Z803">
        <v>26.90785998137282</v>
      </c>
      <c r="AE803">
        <v>27.303790008595811</v>
      </c>
      <c r="AJ803">
        <v>27.808554999882841</v>
      </c>
      <c r="CI803" t="s">
        <v>199</v>
      </c>
    </row>
    <row r="804" spans="1:87" x14ac:dyDescent="0.45">
      <c r="A804" t="s">
        <v>24</v>
      </c>
      <c r="B804" t="s">
        <v>1</v>
      </c>
      <c r="C804" t="s">
        <v>46</v>
      </c>
      <c r="D804" t="s">
        <v>200</v>
      </c>
      <c r="E804" t="s">
        <v>26</v>
      </c>
      <c r="F804">
        <v>17.685750005677331</v>
      </c>
      <c r="K804">
        <v>19.669649983935809</v>
      </c>
      <c r="P804">
        <v>21.109349868547099</v>
      </c>
      <c r="U804">
        <v>23.124299987719361</v>
      </c>
      <c r="Z804">
        <v>24.670949944508269</v>
      </c>
      <c r="AE804">
        <v>25.716449997234651</v>
      </c>
      <c r="AJ804">
        <v>26.65484999984562</v>
      </c>
      <c r="CI804" t="s">
        <v>200</v>
      </c>
    </row>
    <row r="805" spans="1:87" x14ac:dyDescent="0.45">
      <c r="A805" t="s">
        <v>24</v>
      </c>
      <c r="B805" t="s">
        <v>1</v>
      </c>
      <c r="C805" t="s">
        <v>46</v>
      </c>
      <c r="D805" t="s">
        <v>201</v>
      </c>
      <c r="E805" t="s">
        <v>26</v>
      </c>
      <c r="F805">
        <v>6.7516049997696044</v>
      </c>
      <c r="K805">
        <v>5.7599849770490721</v>
      </c>
      <c r="P805">
        <v>4.0888049614218929</v>
      </c>
      <c r="U805">
        <v>2.581319992370299</v>
      </c>
      <c r="Z805">
        <v>1.2644100358425019</v>
      </c>
      <c r="AE805">
        <v>0.64344001050969624</v>
      </c>
      <c r="AJ805">
        <v>0.26260500003017462</v>
      </c>
      <c r="CI805" t="s">
        <v>201</v>
      </c>
    </row>
    <row r="806" spans="1:87" x14ac:dyDescent="0.45">
      <c r="A806" t="s">
        <v>24</v>
      </c>
      <c r="B806" t="s">
        <v>1</v>
      </c>
      <c r="C806" t="s">
        <v>46</v>
      </c>
      <c r="D806" t="s">
        <v>202</v>
      </c>
      <c r="E806" t="s">
        <v>26</v>
      </c>
      <c r="F806">
        <v>0.4003999982098207</v>
      </c>
      <c r="K806">
        <v>0.3206500065693802</v>
      </c>
      <c r="P806">
        <v>0.45474011629727329</v>
      </c>
      <c r="U806">
        <v>3.7289984811408702E-2</v>
      </c>
      <c r="Z806">
        <v>1.499643076385837E-9</v>
      </c>
      <c r="AE806">
        <v>0</v>
      </c>
      <c r="AJ806">
        <v>0</v>
      </c>
      <c r="CI806" t="s">
        <v>202</v>
      </c>
    </row>
    <row r="807" spans="1:87" x14ac:dyDescent="0.45">
      <c r="A807" t="s">
        <v>24</v>
      </c>
      <c r="B807" t="s">
        <v>1</v>
      </c>
      <c r="C807" t="s">
        <v>46</v>
      </c>
      <c r="D807" t="s">
        <v>203</v>
      </c>
      <c r="E807" t="s">
        <v>26</v>
      </c>
      <c r="F807">
        <v>3.0566999727448092</v>
      </c>
      <c r="K807">
        <v>3.1469999428836388</v>
      </c>
      <c r="P807">
        <v>1.817599897658738</v>
      </c>
      <c r="U807">
        <v>0.99269999226794436</v>
      </c>
      <c r="Z807">
        <v>0.97249999952240518</v>
      </c>
      <c r="AE807">
        <v>0.94390000085146564</v>
      </c>
      <c r="AJ807">
        <v>0.89110000000703504</v>
      </c>
      <c r="CI807" t="s">
        <v>203</v>
      </c>
    </row>
    <row r="808" spans="1:87" x14ac:dyDescent="0.45">
      <c r="A808" t="s">
        <v>24</v>
      </c>
      <c r="B808" t="s">
        <v>1</v>
      </c>
      <c r="C808" t="s">
        <v>46</v>
      </c>
      <c r="D808" t="s">
        <v>204</v>
      </c>
      <c r="E808" t="s">
        <v>26</v>
      </c>
      <c r="F808">
        <v>8.4795104271506716E-10</v>
      </c>
      <c r="K808">
        <v>0</v>
      </c>
      <c r="P808">
        <v>0</v>
      </c>
      <c r="U808">
        <v>0</v>
      </c>
      <c r="Z808">
        <v>0</v>
      </c>
      <c r="AE808">
        <v>0</v>
      </c>
      <c r="AJ808">
        <v>0</v>
      </c>
      <c r="CI808" t="s">
        <v>204</v>
      </c>
    </row>
    <row r="809" spans="1:87" x14ac:dyDescent="0.45">
      <c r="A809" t="s">
        <v>24</v>
      </c>
      <c r="B809" t="s">
        <v>1</v>
      </c>
      <c r="C809" t="s">
        <v>46</v>
      </c>
      <c r="D809" t="s">
        <v>205</v>
      </c>
      <c r="E809" t="s">
        <v>26</v>
      </c>
      <c r="F809">
        <v>25.450000020124151</v>
      </c>
      <c r="K809">
        <v>26.038499759521251</v>
      </c>
      <c r="P809">
        <v>20.61164429266336</v>
      </c>
      <c r="U809">
        <v>17.920714976180282</v>
      </c>
      <c r="Z809">
        <v>16.23480499959533</v>
      </c>
      <c r="AE809">
        <v>14.88367001100325</v>
      </c>
      <c r="AJ809">
        <v>15.01601999977146</v>
      </c>
      <c r="CI809" t="s">
        <v>205</v>
      </c>
    </row>
    <row r="810" spans="1:87" x14ac:dyDescent="0.45">
      <c r="A810" t="s">
        <v>24</v>
      </c>
      <c r="B810" t="s">
        <v>1</v>
      </c>
      <c r="C810" t="s">
        <v>46</v>
      </c>
      <c r="D810" t="s">
        <v>206</v>
      </c>
      <c r="E810" t="s">
        <v>26</v>
      </c>
      <c r="F810">
        <v>9.3199998379589005E-2</v>
      </c>
      <c r="K810">
        <v>8.84000536052056E-2</v>
      </c>
      <c r="P810">
        <v>0.64139991483540371</v>
      </c>
      <c r="U810">
        <v>1.6003999823808639</v>
      </c>
      <c r="Z810">
        <v>3.2296000233736781</v>
      </c>
      <c r="AE810">
        <v>6.0386000353075806</v>
      </c>
      <c r="AJ810">
        <v>10.090599998818901</v>
      </c>
      <c r="CI810" t="s">
        <v>206</v>
      </c>
    </row>
    <row r="811" spans="1:87" x14ac:dyDescent="0.45">
      <c r="A811" t="s">
        <v>24</v>
      </c>
      <c r="B811" t="s">
        <v>1</v>
      </c>
      <c r="C811" t="s">
        <v>46</v>
      </c>
      <c r="D811" t="s">
        <v>207</v>
      </c>
      <c r="E811" t="s">
        <v>26</v>
      </c>
      <c r="F811">
        <v>2.9461148187692749E-8</v>
      </c>
      <c r="K811">
        <v>3.9245612981630977E-8</v>
      </c>
      <c r="P811">
        <v>0.40834481849776688</v>
      </c>
      <c r="U811">
        <v>1.5123149990514511</v>
      </c>
      <c r="Z811">
        <v>2.85400482865407</v>
      </c>
      <c r="AE811">
        <v>1.914569991939906</v>
      </c>
      <c r="AJ811">
        <v>0.57372000023008018</v>
      </c>
      <c r="CI811" t="s">
        <v>207</v>
      </c>
    </row>
    <row r="812" spans="1:87" x14ac:dyDescent="0.45">
      <c r="A812" t="s">
        <v>24</v>
      </c>
      <c r="B812" t="s">
        <v>1</v>
      </c>
      <c r="C812" t="s">
        <v>46</v>
      </c>
      <c r="D812" t="s">
        <v>208</v>
      </c>
      <c r="E812" t="s">
        <v>26</v>
      </c>
      <c r="F812">
        <v>25.35679999228341</v>
      </c>
      <c r="K812">
        <v>25.95009966667044</v>
      </c>
      <c r="P812">
        <v>19.561899559330179</v>
      </c>
      <c r="U812">
        <v>14.807999994747959</v>
      </c>
      <c r="Z812">
        <v>10.151200147567581</v>
      </c>
      <c r="AE812">
        <v>6.9304999837557588</v>
      </c>
      <c r="AJ812">
        <v>4.3517000007224826</v>
      </c>
      <c r="CI812" t="s">
        <v>208</v>
      </c>
    </row>
    <row r="813" spans="1:87" x14ac:dyDescent="0.45">
      <c r="A813" t="s">
        <v>24</v>
      </c>
      <c r="B813" t="s">
        <v>3</v>
      </c>
      <c r="C813" t="s">
        <v>46</v>
      </c>
      <c r="D813" t="s">
        <v>59</v>
      </c>
      <c r="E813" t="s">
        <v>48</v>
      </c>
      <c r="F813">
        <v>0</v>
      </c>
      <c r="K813">
        <v>0</v>
      </c>
      <c r="P813">
        <v>3.9152</v>
      </c>
      <c r="U813">
        <v>10.678599999999999</v>
      </c>
      <c r="Z813">
        <v>14.954700000000001</v>
      </c>
      <c r="AE813">
        <v>33.7742</v>
      </c>
      <c r="AJ813">
        <v>55.832900000000002</v>
      </c>
      <c r="CI813" t="s">
        <v>59</v>
      </c>
    </row>
    <row r="814" spans="1:87" x14ac:dyDescent="0.45">
      <c r="A814" t="s">
        <v>24</v>
      </c>
      <c r="B814" t="s">
        <v>3</v>
      </c>
      <c r="C814" t="s">
        <v>46</v>
      </c>
      <c r="D814" t="s">
        <v>60</v>
      </c>
      <c r="E814" t="s">
        <v>48</v>
      </c>
      <c r="F814">
        <v>0</v>
      </c>
      <c r="K814">
        <v>0</v>
      </c>
      <c r="P814">
        <v>8.7398000000000007</v>
      </c>
      <c r="U814">
        <v>24.170100000000001</v>
      </c>
      <c r="Z814">
        <v>56.714700000000001</v>
      </c>
      <c r="AE814">
        <v>119.1297</v>
      </c>
      <c r="AJ814">
        <v>206.4177</v>
      </c>
      <c r="CI814" t="s">
        <v>60</v>
      </c>
    </row>
    <row r="815" spans="1:87" x14ac:dyDescent="0.45">
      <c r="A815" t="s">
        <v>24</v>
      </c>
      <c r="B815" t="s">
        <v>3</v>
      </c>
      <c r="C815" t="s">
        <v>46</v>
      </c>
      <c r="D815" t="s">
        <v>61</v>
      </c>
      <c r="E815" t="s">
        <v>48</v>
      </c>
      <c r="F815">
        <v>0</v>
      </c>
      <c r="K815">
        <v>0</v>
      </c>
      <c r="P815">
        <v>0</v>
      </c>
      <c r="U815">
        <v>15.9153</v>
      </c>
      <c r="Z815">
        <v>15.7181</v>
      </c>
      <c r="AE815">
        <v>15.5486</v>
      </c>
      <c r="AJ815">
        <v>15.3102</v>
      </c>
      <c r="CI815" t="s">
        <v>61</v>
      </c>
    </row>
    <row r="816" spans="1:87" x14ac:dyDescent="0.45">
      <c r="A816" t="s">
        <v>24</v>
      </c>
      <c r="B816" t="s">
        <v>3</v>
      </c>
      <c r="C816" t="s">
        <v>46</v>
      </c>
      <c r="D816" t="s">
        <v>62</v>
      </c>
      <c r="E816" t="s">
        <v>48</v>
      </c>
      <c r="F816">
        <v>164.04140000000001</v>
      </c>
      <c r="K816">
        <v>148.4408</v>
      </c>
      <c r="P816">
        <v>135.36680000000001</v>
      </c>
      <c r="U816">
        <v>121.2811</v>
      </c>
      <c r="Z816">
        <v>106.2009</v>
      </c>
      <c r="AE816">
        <v>91.069299999999998</v>
      </c>
      <c r="AJ816">
        <v>75.627200000000002</v>
      </c>
      <c r="CI816" t="s">
        <v>62</v>
      </c>
    </row>
    <row r="817" spans="1:87" x14ac:dyDescent="0.45">
      <c r="A817" t="s">
        <v>24</v>
      </c>
      <c r="B817" t="s">
        <v>3</v>
      </c>
      <c r="C817" t="s">
        <v>46</v>
      </c>
      <c r="D817" t="s">
        <v>63</v>
      </c>
      <c r="E817" t="s">
        <v>48</v>
      </c>
      <c r="F817">
        <v>-1429.8635999999999</v>
      </c>
      <c r="K817">
        <v>-1483.2371000000001</v>
      </c>
      <c r="P817">
        <v>-1635.2760000000001</v>
      </c>
      <c r="U817">
        <v>-1657.9820999999999</v>
      </c>
      <c r="Z817">
        <v>-1685.5726</v>
      </c>
      <c r="AE817">
        <v>-1657.1819</v>
      </c>
      <c r="AJ817">
        <v>-1627.9339</v>
      </c>
      <c r="CI817" t="s">
        <v>63</v>
      </c>
    </row>
    <row r="818" spans="1:87" x14ac:dyDescent="0.45">
      <c r="A818" t="s">
        <v>24</v>
      </c>
      <c r="B818" t="s">
        <v>3</v>
      </c>
      <c r="C818" t="s">
        <v>46</v>
      </c>
      <c r="D818" t="s">
        <v>64</v>
      </c>
      <c r="E818" t="s">
        <v>48</v>
      </c>
      <c r="F818">
        <v>-534.70759999999996</v>
      </c>
      <c r="K818">
        <v>-588.17830000000004</v>
      </c>
      <c r="P818">
        <v>-641.64909999999998</v>
      </c>
      <c r="U818">
        <v>-641.64909999999998</v>
      </c>
      <c r="Z818">
        <v>-641.64909999999998</v>
      </c>
      <c r="AE818">
        <v>-588.17830000000004</v>
      </c>
      <c r="AJ818">
        <v>-534.70759999999996</v>
      </c>
      <c r="CI818" t="s">
        <v>64</v>
      </c>
    </row>
    <row r="819" spans="1:87" x14ac:dyDescent="0.45">
      <c r="A819" t="s">
        <v>24</v>
      </c>
      <c r="B819" t="s">
        <v>3</v>
      </c>
      <c r="C819" t="s">
        <v>46</v>
      </c>
      <c r="D819" t="s">
        <v>65</v>
      </c>
      <c r="E819" t="s">
        <v>66</v>
      </c>
      <c r="F819">
        <v>4727.4267</v>
      </c>
      <c r="K819">
        <v>3976.1142</v>
      </c>
      <c r="P819">
        <v>2929.7166000000002</v>
      </c>
      <c r="U819">
        <v>2570.6381999999999</v>
      </c>
      <c r="Z819">
        <v>2192.2984999999999</v>
      </c>
      <c r="AE819">
        <v>1639.7065</v>
      </c>
      <c r="AJ819">
        <v>924.24379999999996</v>
      </c>
      <c r="CI819" t="s">
        <v>65</v>
      </c>
    </row>
    <row r="820" spans="1:87" x14ac:dyDescent="0.45">
      <c r="A820" t="s">
        <v>24</v>
      </c>
      <c r="B820" t="s">
        <v>3</v>
      </c>
      <c r="C820" t="s">
        <v>46</v>
      </c>
      <c r="D820" t="s">
        <v>67</v>
      </c>
      <c r="E820" t="s">
        <v>66</v>
      </c>
      <c r="F820">
        <v>1230.5565999999999</v>
      </c>
      <c r="K820">
        <v>966.24599999999998</v>
      </c>
      <c r="P820">
        <v>913.73490000000004</v>
      </c>
      <c r="U820">
        <v>793.32069999999999</v>
      </c>
      <c r="Z820">
        <v>760.39739999999995</v>
      </c>
      <c r="AE820">
        <v>659.048</v>
      </c>
      <c r="AJ820">
        <v>557.39160000000004</v>
      </c>
      <c r="CI820" t="s">
        <v>67</v>
      </c>
    </row>
    <row r="821" spans="1:87" x14ac:dyDescent="0.45">
      <c r="A821" t="s">
        <v>24</v>
      </c>
      <c r="B821" t="s">
        <v>3</v>
      </c>
      <c r="C821" t="s">
        <v>46</v>
      </c>
      <c r="D821" t="s">
        <v>68</v>
      </c>
      <c r="E821" t="s">
        <v>26</v>
      </c>
      <c r="F821">
        <v>64.545100000000005</v>
      </c>
      <c r="K821">
        <v>63.9373</v>
      </c>
      <c r="P821">
        <v>63.345500000000001</v>
      </c>
      <c r="U821">
        <v>62.5899</v>
      </c>
      <c r="Z821">
        <v>60.131599999999999</v>
      </c>
      <c r="AE821">
        <v>57.0379</v>
      </c>
      <c r="AJ821">
        <v>53.851599999999998</v>
      </c>
      <c r="CI821" t="s">
        <v>68</v>
      </c>
    </row>
    <row r="822" spans="1:87" x14ac:dyDescent="0.45">
      <c r="A822" t="s">
        <v>24</v>
      </c>
      <c r="B822" t="s">
        <v>3</v>
      </c>
      <c r="C822" t="s">
        <v>46</v>
      </c>
      <c r="D822" t="s">
        <v>69</v>
      </c>
      <c r="E822" t="s">
        <v>26</v>
      </c>
      <c r="F822">
        <v>13.9163</v>
      </c>
      <c r="K822">
        <v>15.195600000000001</v>
      </c>
      <c r="P822">
        <v>15.6897</v>
      </c>
      <c r="U822">
        <v>16.502600000000001</v>
      </c>
      <c r="Z822">
        <v>18.018599999999999</v>
      </c>
      <c r="AE822">
        <v>20.061199999999999</v>
      </c>
      <c r="AJ822">
        <v>22.568100000000001</v>
      </c>
      <c r="CI822" t="s">
        <v>69</v>
      </c>
    </row>
    <row r="823" spans="1:87" x14ac:dyDescent="0.45">
      <c r="A823" t="s">
        <v>24</v>
      </c>
      <c r="B823" t="s">
        <v>3</v>
      </c>
      <c r="C823" t="s">
        <v>46</v>
      </c>
      <c r="D823" t="s">
        <v>70</v>
      </c>
      <c r="E823" t="s">
        <v>26</v>
      </c>
      <c r="F823">
        <v>12.771699999999999</v>
      </c>
      <c r="K823">
        <v>9.8386999999999993</v>
      </c>
      <c r="P823">
        <v>8.9926999999999992</v>
      </c>
      <c r="U823">
        <v>9.8872</v>
      </c>
      <c r="Z823">
        <v>9.2957000000000001</v>
      </c>
      <c r="AE823">
        <v>8.6397999999999993</v>
      </c>
      <c r="AJ823">
        <v>7.5434000000000001</v>
      </c>
      <c r="CI823" t="s">
        <v>70</v>
      </c>
    </row>
    <row r="824" spans="1:87" x14ac:dyDescent="0.45">
      <c r="A824" t="s">
        <v>24</v>
      </c>
      <c r="B824" t="s">
        <v>3</v>
      </c>
      <c r="C824" t="s">
        <v>46</v>
      </c>
      <c r="D824" t="s">
        <v>71</v>
      </c>
      <c r="E824" t="s">
        <v>26</v>
      </c>
      <c r="F824">
        <v>0.3649</v>
      </c>
      <c r="K824">
        <v>0.39479999999999998</v>
      </c>
      <c r="P824">
        <v>0.62639999999999996</v>
      </c>
      <c r="U824">
        <v>0.8367</v>
      </c>
      <c r="Z824">
        <v>0.96279999999999999</v>
      </c>
      <c r="AE824">
        <v>1.2</v>
      </c>
      <c r="AJ824">
        <v>1.5182</v>
      </c>
      <c r="CI824" t="s">
        <v>71</v>
      </c>
    </row>
    <row r="825" spans="1:87" x14ac:dyDescent="0.45">
      <c r="A825" t="s">
        <v>24</v>
      </c>
      <c r="B825" t="s">
        <v>3</v>
      </c>
      <c r="C825" t="s">
        <v>46</v>
      </c>
      <c r="D825" t="s">
        <v>72</v>
      </c>
      <c r="E825" t="s">
        <v>26</v>
      </c>
      <c r="F825">
        <v>0</v>
      </c>
      <c r="K825">
        <v>7.5399999999999995E-2</v>
      </c>
      <c r="P825">
        <v>7.4399999999999994E-2</v>
      </c>
      <c r="U825">
        <v>0.14649999999999999</v>
      </c>
      <c r="Z825">
        <v>0.1472</v>
      </c>
      <c r="AE825">
        <v>0.1434</v>
      </c>
      <c r="AJ825">
        <v>0.14019999999999999</v>
      </c>
      <c r="CI825" t="s">
        <v>72</v>
      </c>
    </row>
    <row r="826" spans="1:87" x14ac:dyDescent="0.45">
      <c r="A826" t="s">
        <v>24</v>
      </c>
      <c r="B826" t="s">
        <v>3</v>
      </c>
      <c r="C826" t="s">
        <v>46</v>
      </c>
      <c r="D826" t="s">
        <v>73</v>
      </c>
      <c r="E826" t="s">
        <v>26</v>
      </c>
      <c r="F826">
        <v>14.7631</v>
      </c>
      <c r="K826">
        <v>13.818300000000001</v>
      </c>
      <c r="P826">
        <v>15.7133</v>
      </c>
      <c r="U826">
        <v>15.7661</v>
      </c>
      <c r="Z826">
        <v>15.0223</v>
      </c>
      <c r="AE826">
        <v>14.360099999999999</v>
      </c>
      <c r="AJ826">
        <v>13.536300000000001</v>
      </c>
      <c r="CI826" t="s">
        <v>73</v>
      </c>
    </row>
    <row r="827" spans="1:87" x14ac:dyDescent="0.45">
      <c r="A827" t="s">
        <v>24</v>
      </c>
      <c r="B827" t="s">
        <v>3</v>
      </c>
      <c r="C827" t="s">
        <v>46</v>
      </c>
      <c r="D827" t="s">
        <v>74</v>
      </c>
      <c r="E827" t="s">
        <v>26</v>
      </c>
      <c r="F827">
        <v>6.3365999999999998</v>
      </c>
      <c r="K827">
        <v>4.3932000000000002</v>
      </c>
      <c r="P827">
        <v>4.0964999999999998</v>
      </c>
      <c r="U827">
        <v>4.9292999999999996</v>
      </c>
      <c r="Z827">
        <v>4.3925000000000001</v>
      </c>
      <c r="AE827">
        <v>4.5525000000000002</v>
      </c>
      <c r="AJ827">
        <v>4.4127999999999998</v>
      </c>
      <c r="CI827" t="s">
        <v>74</v>
      </c>
    </row>
    <row r="828" spans="1:87" x14ac:dyDescent="0.45">
      <c r="A828" t="s">
        <v>24</v>
      </c>
      <c r="B828" t="s">
        <v>3</v>
      </c>
      <c r="C828" t="s">
        <v>46</v>
      </c>
      <c r="D828" t="s">
        <v>75</v>
      </c>
      <c r="E828" t="s">
        <v>26</v>
      </c>
      <c r="F828">
        <v>0</v>
      </c>
      <c r="K828">
        <v>0.1023</v>
      </c>
      <c r="P828">
        <v>0.28339999999999999</v>
      </c>
      <c r="U828">
        <v>0.58689999999999998</v>
      </c>
      <c r="Z828">
        <v>0.96279999999999999</v>
      </c>
      <c r="AE828">
        <v>0.83979999999999999</v>
      </c>
      <c r="AJ828">
        <v>0.6401</v>
      </c>
      <c r="CI828" t="s">
        <v>75</v>
      </c>
    </row>
    <row r="829" spans="1:87" x14ac:dyDescent="0.45">
      <c r="A829" t="s">
        <v>24</v>
      </c>
      <c r="B829" t="s">
        <v>3</v>
      </c>
      <c r="C829" t="s">
        <v>46</v>
      </c>
      <c r="D829" t="s">
        <v>76</v>
      </c>
      <c r="E829" t="s">
        <v>26</v>
      </c>
      <c r="F829">
        <v>0</v>
      </c>
      <c r="K829">
        <v>7.5399999999999995E-2</v>
      </c>
      <c r="P829">
        <v>7.4399999999999994E-2</v>
      </c>
      <c r="U829">
        <v>0.14649999999999999</v>
      </c>
      <c r="Z829">
        <v>0.1472</v>
      </c>
      <c r="AE829">
        <v>0.1434</v>
      </c>
      <c r="AJ829">
        <v>0.14019999999999999</v>
      </c>
      <c r="CI829" t="s">
        <v>76</v>
      </c>
    </row>
    <row r="830" spans="1:87" x14ac:dyDescent="0.45">
      <c r="A830" t="s">
        <v>24</v>
      </c>
      <c r="B830" t="s">
        <v>3</v>
      </c>
      <c r="C830" t="s">
        <v>46</v>
      </c>
      <c r="D830" t="s">
        <v>77</v>
      </c>
      <c r="E830" t="s">
        <v>26</v>
      </c>
      <c r="F830">
        <v>4.8479000000000001</v>
      </c>
      <c r="K830">
        <v>5.1687000000000003</v>
      </c>
      <c r="P830">
        <v>7.6618000000000004</v>
      </c>
      <c r="U830">
        <v>7.5689000000000002</v>
      </c>
      <c r="Z830">
        <v>7.3135000000000003</v>
      </c>
      <c r="AE830">
        <v>6.6022999999999996</v>
      </c>
      <c r="AJ830">
        <v>5.726</v>
      </c>
      <c r="CI830" t="s">
        <v>77</v>
      </c>
    </row>
    <row r="831" spans="1:87" x14ac:dyDescent="0.45">
      <c r="A831" t="s">
        <v>24</v>
      </c>
      <c r="B831" t="s">
        <v>3</v>
      </c>
      <c r="C831" t="s">
        <v>46</v>
      </c>
      <c r="D831" t="s">
        <v>78</v>
      </c>
      <c r="E831" t="s">
        <v>26</v>
      </c>
      <c r="F831">
        <v>0.4481</v>
      </c>
      <c r="K831">
        <v>0.51</v>
      </c>
      <c r="P831">
        <v>0.98950000000000005</v>
      </c>
      <c r="U831">
        <v>0.98719999999999997</v>
      </c>
      <c r="Z831">
        <v>0.96740000000000004</v>
      </c>
      <c r="AE831">
        <v>0.86119999999999997</v>
      </c>
      <c r="AJ831">
        <v>0.78039999999999998</v>
      </c>
      <c r="CI831" t="s">
        <v>78</v>
      </c>
    </row>
    <row r="832" spans="1:87" x14ac:dyDescent="0.45">
      <c r="A832" t="s">
        <v>24</v>
      </c>
      <c r="B832" t="s">
        <v>3</v>
      </c>
      <c r="C832" t="s">
        <v>46</v>
      </c>
      <c r="D832" t="s">
        <v>79</v>
      </c>
      <c r="E832" t="s">
        <v>26</v>
      </c>
      <c r="F832">
        <v>4.4131999999999998</v>
      </c>
      <c r="K832">
        <v>4.6856</v>
      </c>
      <c r="P832">
        <v>6.6951999999999998</v>
      </c>
      <c r="U832">
        <v>6.5922999999999998</v>
      </c>
      <c r="Z832">
        <v>6.3708</v>
      </c>
      <c r="AE832">
        <v>5.7648999999999999</v>
      </c>
      <c r="AJ832">
        <v>4.9678000000000004</v>
      </c>
      <c r="CI832" t="s">
        <v>79</v>
      </c>
    </row>
    <row r="833" spans="1:87" x14ac:dyDescent="0.45">
      <c r="A833" t="s">
        <v>24</v>
      </c>
      <c r="B833" t="s">
        <v>3</v>
      </c>
      <c r="C833" t="s">
        <v>46</v>
      </c>
      <c r="D833" t="s">
        <v>80</v>
      </c>
      <c r="E833" t="s">
        <v>26</v>
      </c>
      <c r="F833">
        <v>0.9647</v>
      </c>
      <c r="K833">
        <v>1.2936000000000001</v>
      </c>
      <c r="P833">
        <v>1.0680000000000001</v>
      </c>
      <c r="U833">
        <v>0.83730000000000004</v>
      </c>
      <c r="Z833">
        <v>0.25729999999999997</v>
      </c>
      <c r="AE833">
        <v>9.2600000000000002E-2</v>
      </c>
      <c r="AJ833">
        <v>0.24610000000000001</v>
      </c>
      <c r="CI833" t="s">
        <v>80</v>
      </c>
    </row>
    <row r="834" spans="1:87" x14ac:dyDescent="0.45">
      <c r="A834" t="s">
        <v>24</v>
      </c>
      <c r="B834" t="s">
        <v>3</v>
      </c>
      <c r="C834" t="s">
        <v>46</v>
      </c>
      <c r="D834" t="s">
        <v>81</v>
      </c>
      <c r="E834" t="s">
        <v>26</v>
      </c>
      <c r="F834">
        <v>0.21340000000000001</v>
      </c>
      <c r="K834">
        <v>0.47089999999999999</v>
      </c>
      <c r="P834">
        <v>0.1777</v>
      </c>
      <c r="U834">
        <v>0.17879999999999999</v>
      </c>
      <c r="Z834">
        <v>0</v>
      </c>
      <c r="AE834">
        <v>6.2E-2</v>
      </c>
      <c r="AJ834">
        <v>0.22109999999999999</v>
      </c>
      <c r="CI834" t="s">
        <v>81</v>
      </c>
    </row>
    <row r="835" spans="1:87" x14ac:dyDescent="0.45">
      <c r="A835" t="s">
        <v>24</v>
      </c>
      <c r="B835" t="s">
        <v>3</v>
      </c>
      <c r="C835" t="s">
        <v>46</v>
      </c>
      <c r="D835" t="s">
        <v>82</v>
      </c>
      <c r="E835" t="s">
        <v>26</v>
      </c>
      <c r="F835">
        <v>0.76649999999999996</v>
      </c>
      <c r="K835">
        <v>0.83879999999999999</v>
      </c>
      <c r="P835">
        <v>0.9052</v>
      </c>
      <c r="U835">
        <v>0.67290000000000005</v>
      </c>
      <c r="Z835">
        <v>0.26900000000000002</v>
      </c>
      <c r="AE835">
        <v>4.0099999999999997E-2</v>
      </c>
      <c r="AJ835">
        <v>3.4200000000000001E-2</v>
      </c>
      <c r="CI835" t="s">
        <v>82</v>
      </c>
    </row>
    <row r="836" spans="1:87" x14ac:dyDescent="0.45">
      <c r="A836" t="s">
        <v>24</v>
      </c>
      <c r="B836" t="s">
        <v>3</v>
      </c>
      <c r="C836" t="s">
        <v>46</v>
      </c>
      <c r="D836" t="s">
        <v>83</v>
      </c>
      <c r="E836" t="s">
        <v>26</v>
      </c>
      <c r="F836">
        <v>33.182299999999998</v>
      </c>
      <c r="K836">
        <v>34.345100000000002</v>
      </c>
      <c r="P836">
        <v>33.3506</v>
      </c>
      <c r="U836">
        <v>30.5397</v>
      </c>
      <c r="Z836">
        <v>27.105899999999998</v>
      </c>
      <c r="AE836">
        <v>22.596800000000002</v>
      </c>
      <c r="AJ836">
        <v>17.430299999999999</v>
      </c>
      <c r="CI836" t="s">
        <v>83</v>
      </c>
    </row>
    <row r="837" spans="1:87" x14ac:dyDescent="0.45">
      <c r="A837" t="s">
        <v>24</v>
      </c>
      <c r="B837" t="s">
        <v>3</v>
      </c>
      <c r="C837" t="s">
        <v>46</v>
      </c>
      <c r="D837" t="s">
        <v>84</v>
      </c>
      <c r="E837" t="s">
        <v>26</v>
      </c>
      <c r="F837">
        <v>22.184899999999999</v>
      </c>
      <c r="K837">
        <v>22.928799999999999</v>
      </c>
      <c r="P837">
        <v>23.697500000000002</v>
      </c>
      <c r="U837">
        <v>23.510100000000001</v>
      </c>
      <c r="Z837">
        <v>23.0626</v>
      </c>
      <c r="AE837">
        <v>23.092300000000002</v>
      </c>
      <c r="AJ837">
        <v>23.187200000000001</v>
      </c>
      <c r="CI837" t="s">
        <v>84</v>
      </c>
    </row>
    <row r="838" spans="1:87" x14ac:dyDescent="0.45">
      <c r="A838" t="s">
        <v>24</v>
      </c>
      <c r="B838" t="s">
        <v>3</v>
      </c>
      <c r="C838" t="s">
        <v>46</v>
      </c>
      <c r="D838" t="s">
        <v>85</v>
      </c>
      <c r="E838" t="s">
        <v>26</v>
      </c>
      <c r="F838">
        <v>6.4352</v>
      </c>
      <c r="K838">
        <v>5.4455</v>
      </c>
      <c r="P838">
        <v>4.8962000000000003</v>
      </c>
      <c r="U838">
        <v>4.9579000000000004</v>
      </c>
      <c r="Z838">
        <v>4.9032</v>
      </c>
      <c r="AE838">
        <v>4.0872999999999999</v>
      </c>
      <c r="AJ838">
        <v>3.1307</v>
      </c>
      <c r="CI838" t="s">
        <v>85</v>
      </c>
    </row>
    <row r="839" spans="1:87" x14ac:dyDescent="0.45">
      <c r="A839" t="s">
        <v>24</v>
      </c>
      <c r="B839" t="s">
        <v>3</v>
      </c>
      <c r="C839" t="s">
        <v>46</v>
      </c>
      <c r="D839" t="s">
        <v>86</v>
      </c>
      <c r="E839" t="s">
        <v>26</v>
      </c>
      <c r="F839">
        <v>0.3649</v>
      </c>
      <c r="K839">
        <v>0.29249999999999998</v>
      </c>
      <c r="P839">
        <v>0.34300000000000003</v>
      </c>
      <c r="U839">
        <v>0.24979999999999999</v>
      </c>
      <c r="Z839">
        <v>0</v>
      </c>
      <c r="AE839">
        <v>0.36020000000000002</v>
      </c>
      <c r="AJ839">
        <v>0.87809999999999999</v>
      </c>
      <c r="CI839" t="s">
        <v>86</v>
      </c>
    </row>
    <row r="840" spans="1:87" x14ac:dyDescent="0.45">
      <c r="A840" t="s">
        <v>24</v>
      </c>
      <c r="B840" t="s">
        <v>3</v>
      </c>
      <c r="C840" t="s">
        <v>46</v>
      </c>
      <c r="D840" t="s">
        <v>87</v>
      </c>
      <c r="E840" t="s">
        <v>26</v>
      </c>
      <c r="F840">
        <v>0</v>
      </c>
      <c r="K840">
        <v>0</v>
      </c>
      <c r="P840">
        <v>0</v>
      </c>
      <c r="U840">
        <v>0</v>
      </c>
      <c r="Z840">
        <v>0</v>
      </c>
      <c r="AE840">
        <v>0</v>
      </c>
      <c r="AJ840">
        <v>0</v>
      </c>
      <c r="CI840" t="s">
        <v>87</v>
      </c>
    </row>
    <row r="841" spans="1:87" x14ac:dyDescent="0.45">
      <c r="A841" t="s">
        <v>24</v>
      </c>
      <c r="B841" t="s">
        <v>3</v>
      </c>
      <c r="C841" t="s">
        <v>46</v>
      </c>
      <c r="D841" t="s">
        <v>88</v>
      </c>
      <c r="E841" t="s">
        <v>26</v>
      </c>
      <c r="F841">
        <v>3.1006999999999998</v>
      </c>
      <c r="K841">
        <v>3.1438999999999999</v>
      </c>
      <c r="P841">
        <v>3.7446000000000002</v>
      </c>
      <c r="U841">
        <v>2.3262999999999998</v>
      </c>
      <c r="Z841">
        <v>1.1126</v>
      </c>
      <c r="AE841">
        <v>1.0948</v>
      </c>
      <c r="AJ841">
        <v>1.0754999999999999</v>
      </c>
      <c r="CI841" t="s">
        <v>88</v>
      </c>
    </row>
    <row r="842" spans="1:87" x14ac:dyDescent="0.45">
      <c r="A842" t="s">
        <v>24</v>
      </c>
      <c r="B842" t="s">
        <v>3</v>
      </c>
      <c r="C842" t="s">
        <v>46</v>
      </c>
      <c r="D842" t="s">
        <v>89</v>
      </c>
      <c r="E842" t="s">
        <v>26</v>
      </c>
      <c r="F842">
        <v>2.1000000000000001E-2</v>
      </c>
      <c r="K842">
        <v>3.32E-2</v>
      </c>
      <c r="P842">
        <v>6.7699999999999996E-2</v>
      </c>
      <c r="U842">
        <v>5.2699999999999997E-2</v>
      </c>
      <c r="Z842">
        <v>3.15E-2</v>
      </c>
      <c r="AE842">
        <v>3.4799999999999998E-2</v>
      </c>
      <c r="AJ842">
        <v>4.0099999999999997E-2</v>
      </c>
      <c r="CI842" t="s">
        <v>89</v>
      </c>
    </row>
    <row r="843" spans="1:87" x14ac:dyDescent="0.45">
      <c r="A843" t="s">
        <v>24</v>
      </c>
      <c r="B843" t="s">
        <v>3</v>
      </c>
      <c r="C843" t="s">
        <v>46</v>
      </c>
      <c r="D843" t="s">
        <v>90</v>
      </c>
      <c r="E843" t="s">
        <v>26</v>
      </c>
      <c r="F843">
        <v>3.1707000000000001</v>
      </c>
      <c r="K843">
        <v>3.1848000000000001</v>
      </c>
      <c r="P843">
        <v>3.7395</v>
      </c>
      <c r="U843">
        <v>2.3085</v>
      </c>
      <c r="Z843">
        <v>1.1064000000000001</v>
      </c>
      <c r="AE843">
        <v>1.0777000000000001</v>
      </c>
      <c r="AJ843">
        <v>1.0479000000000001</v>
      </c>
      <c r="CI843" t="s">
        <v>90</v>
      </c>
    </row>
    <row r="844" spans="1:87" x14ac:dyDescent="0.45">
      <c r="A844" t="s">
        <v>24</v>
      </c>
      <c r="B844" t="s">
        <v>3</v>
      </c>
      <c r="C844" t="s">
        <v>46</v>
      </c>
      <c r="D844" t="s">
        <v>91</v>
      </c>
      <c r="E844" t="s">
        <v>26</v>
      </c>
      <c r="F844">
        <v>0</v>
      </c>
      <c r="K844">
        <v>0</v>
      </c>
      <c r="P844">
        <v>0</v>
      </c>
      <c r="U844">
        <v>0</v>
      </c>
      <c r="Z844">
        <v>0</v>
      </c>
      <c r="AE844">
        <v>0</v>
      </c>
      <c r="AJ844">
        <v>0</v>
      </c>
      <c r="CI844" t="s">
        <v>91</v>
      </c>
    </row>
    <row r="845" spans="1:87" x14ac:dyDescent="0.45">
      <c r="A845" t="s">
        <v>24</v>
      </c>
      <c r="B845" t="s">
        <v>3</v>
      </c>
      <c r="C845" t="s">
        <v>46</v>
      </c>
      <c r="D845" t="s">
        <v>92</v>
      </c>
      <c r="E845" t="s">
        <v>26</v>
      </c>
      <c r="F845">
        <v>0</v>
      </c>
      <c r="K845">
        <v>0</v>
      </c>
      <c r="P845">
        <v>0</v>
      </c>
      <c r="U845">
        <v>0</v>
      </c>
      <c r="Z845">
        <v>0</v>
      </c>
      <c r="AE845">
        <v>0</v>
      </c>
      <c r="AJ845">
        <v>0</v>
      </c>
      <c r="CI845" t="s">
        <v>92</v>
      </c>
    </row>
    <row r="846" spans="1:87" x14ac:dyDescent="0.45">
      <c r="A846" t="s">
        <v>24</v>
      </c>
      <c r="B846" t="s">
        <v>3</v>
      </c>
      <c r="C846" t="s">
        <v>46</v>
      </c>
      <c r="D846" t="s">
        <v>93</v>
      </c>
      <c r="E846" t="s">
        <v>26</v>
      </c>
      <c r="F846">
        <v>0</v>
      </c>
      <c r="K846">
        <v>0</v>
      </c>
      <c r="P846">
        <v>0</v>
      </c>
      <c r="U846">
        <v>0</v>
      </c>
      <c r="Z846">
        <v>0</v>
      </c>
      <c r="AE846">
        <v>0</v>
      </c>
      <c r="AJ846">
        <v>0</v>
      </c>
      <c r="CI846" t="s">
        <v>93</v>
      </c>
    </row>
    <row r="847" spans="1:87" x14ac:dyDescent="0.45">
      <c r="A847" t="s">
        <v>24</v>
      </c>
      <c r="B847" t="s">
        <v>3</v>
      </c>
      <c r="C847" t="s">
        <v>46</v>
      </c>
      <c r="D847" t="s">
        <v>94</v>
      </c>
      <c r="E847" t="s">
        <v>26</v>
      </c>
      <c r="F847">
        <v>0.9647</v>
      </c>
      <c r="K847">
        <v>1.2936000000000001</v>
      </c>
      <c r="P847">
        <v>1.0680000000000001</v>
      </c>
      <c r="U847">
        <v>0.83730000000000004</v>
      </c>
      <c r="Z847">
        <v>0.25729999999999997</v>
      </c>
      <c r="AE847">
        <v>9.2600000000000002E-2</v>
      </c>
      <c r="AJ847">
        <v>0.24610000000000001</v>
      </c>
      <c r="CI847" t="s">
        <v>94</v>
      </c>
    </row>
    <row r="848" spans="1:87" x14ac:dyDescent="0.45">
      <c r="A848" t="s">
        <v>24</v>
      </c>
      <c r="B848" t="s">
        <v>3</v>
      </c>
      <c r="C848" t="s">
        <v>46</v>
      </c>
      <c r="D848" t="s">
        <v>95</v>
      </c>
      <c r="E848" t="s">
        <v>26</v>
      </c>
      <c r="F848">
        <v>25.164100000000001</v>
      </c>
      <c r="K848">
        <v>25.877400000000002</v>
      </c>
      <c r="P848">
        <v>22.0901</v>
      </c>
      <c r="U848">
        <v>21.1831</v>
      </c>
      <c r="Z848">
        <v>20.0322</v>
      </c>
      <c r="AE848">
        <v>17.702999999999999</v>
      </c>
      <c r="AJ848">
        <v>15.133900000000001</v>
      </c>
      <c r="CI848" t="s">
        <v>95</v>
      </c>
    </row>
    <row r="849" spans="1:87" x14ac:dyDescent="0.45">
      <c r="A849" t="s">
        <v>24</v>
      </c>
      <c r="B849" t="s">
        <v>3</v>
      </c>
      <c r="C849" t="s">
        <v>46</v>
      </c>
      <c r="D849" t="s">
        <v>96</v>
      </c>
      <c r="E849" t="s">
        <v>26</v>
      </c>
      <c r="F849">
        <v>0</v>
      </c>
      <c r="K849">
        <v>0</v>
      </c>
      <c r="P849">
        <v>0</v>
      </c>
      <c r="U849">
        <v>0</v>
      </c>
      <c r="Z849">
        <v>0</v>
      </c>
      <c r="AE849">
        <v>0</v>
      </c>
      <c r="AJ849">
        <v>0</v>
      </c>
      <c r="CI849" t="s">
        <v>96</v>
      </c>
    </row>
    <row r="850" spans="1:87" x14ac:dyDescent="0.45">
      <c r="A850" t="s">
        <v>24</v>
      </c>
      <c r="B850" t="s">
        <v>3</v>
      </c>
      <c r="C850" t="s">
        <v>46</v>
      </c>
      <c r="D850" t="s">
        <v>97</v>
      </c>
      <c r="E850" t="s">
        <v>26</v>
      </c>
      <c r="F850">
        <v>25.233699999999999</v>
      </c>
      <c r="K850">
        <v>26.032499999999999</v>
      </c>
      <c r="P850">
        <v>21.944199999999999</v>
      </c>
      <c r="U850">
        <v>20.644500000000001</v>
      </c>
      <c r="Z850">
        <v>18.6799</v>
      </c>
      <c r="AE850">
        <v>14.899800000000001</v>
      </c>
      <c r="AJ850">
        <v>10.6288</v>
      </c>
      <c r="CI850" t="s">
        <v>97</v>
      </c>
    </row>
    <row r="851" spans="1:87" x14ac:dyDescent="0.45">
      <c r="A851" t="s">
        <v>24</v>
      </c>
      <c r="B851" t="s">
        <v>3</v>
      </c>
      <c r="C851" t="s">
        <v>46</v>
      </c>
      <c r="D851" t="s">
        <v>98</v>
      </c>
      <c r="E851" t="s">
        <v>26</v>
      </c>
      <c r="F851">
        <v>21.7879</v>
      </c>
      <c r="K851">
        <v>22.456299999999999</v>
      </c>
      <c r="P851">
        <v>18.4025</v>
      </c>
      <c r="U851">
        <v>17.6784</v>
      </c>
      <c r="Z851">
        <v>16.274000000000001</v>
      </c>
      <c r="AE851">
        <v>13.454499999999999</v>
      </c>
      <c r="AJ851">
        <v>10.036899999999999</v>
      </c>
      <c r="CI851" t="s">
        <v>98</v>
      </c>
    </row>
    <row r="852" spans="1:87" x14ac:dyDescent="0.45">
      <c r="A852" t="s">
        <v>24</v>
      </c>
      <c r="B852" t="s">
        <v>3</v>
      </c>
      <c r="C852" t="s">
        <v>46</v>
      </c>
      <c r="D852" t="s">
        <v>99</v>
      </c>
      <c r="E852" t="s">
        <v>100</v>
      </c>
      <c r="F852">
        <v>17759.189699999999</v>
      </c>
      <c r="K852">
        <v>20999.454300000001</v>
      </c>
      <c r="P852">
        <v>22931.7857</v>
      </c>
      <c r="U852">
        <v>24674.543399999999</v>
      </c>
      <c r="Z852">
        <v>26291.692999999999</v>
      </c>
      <c r="AE852">
        <v>27814.653200000001</v>
      </c>
      <c r="AJ852">
        <v>29229.5065</v>
      </c>
      <c r="CI852" t="s">
        <v>99</v>
      </c>
    </row>
    <row r="853" spans="1:87" x14ac:dyDescent="0.45">
      <c r="A853" t="s">
        <v>24</v>
      </c>
      <c r="B853" t="s">
        <v>3</v>
      </c>
      <c r="C853" t="s">
        <v>46</v>
      </c>
      <c r="D853" t="s">
        <v>101</v>
      </c>
      <c r="E853" t="s">
        <v>102</v>
      </c>
      <c r="F853">
        <v>335.11259999999999</v>
      </c>
      <c r="K853">
        <v>347.33879999999999</v>
      </c>
      <c r="P853">
        <v>360.10340000000002</v>
      </c>
      <c r="U853">
        <v>371.43430000000001</v>
      </c>
      <c r="Z853">
        <v>382.77010000000001</v>
      </c>
      <c r="AE853">
        <v>392.61290000000002</v>
      </c>
      <c r="AJ853">
        <v>402.44220000000001</v>
      </c>
      <c r="CI853" t="s">
        <v>101</v>
      </c>
    </row>
    <row r="854" spans="1:87" x14ac:dyDescent="0.45">
      <c r="A854" t="s">
        <v>24</v>
      </c>
      <c r="B854" t="s">
        <v>3</v>
      </c>
      <c r="C854" t="s">
        <v>46</v>
      </c>
      <c r="D854" t="s">
        <v>103</v>
      </c>
      <c r="E854" t="s">
        <v>104</v>
      </c>
      <c r="F854">
        <v>0.99990000000000001</v>
      </c>
      <c r="K854">
        <v>0.93110000000000004</v>
      </c>
      <c r="P854">
        <v>0.86670000000000003</v>
      </c>
      <c r="U854">
        <v>0.87419999999999998</v>
      </c>
      <c r="Z854">
        <v>0.88419999999999999</v>
      </c>
      <c r="AE854">
        <v>0.89729999999999999</v>
      </c>
      <c r="AJ854">
        <v>0.91149999999999998</v>
      </c>
      <c r="CI854" t="s">
        <v>103</v>
      </c>
    </row>
    <row r="855" spans="1:87" x14ac:dyDescent="0.45">
      <c r="A855" t="s">
        <v>24</v>
      </c>
      <c r="B855" t="s">
        <v>3</v>
      </c>
      <c r="C855" t="s">
        <v>46</v>
      </c>
      <c r="D855" t="s">
        <v>105</v>
      </c>
      <c r="E855" t="s">
        <v>104</v>
      </c>
      <c r="F855">
        <v>1.0125</v>
      </c>
      <c r="K855">
        <v>0.9415</v>
      </c>
      <c r="P855">
        <v>0.87429999999999997</v>
      </c>
      <c r="U855">
        <v>0.84360000000000002</v>
      </c>
      <c r="Z855">
        <v>0.81540000000000001</v>
      </c>
      <c r="AE855">
        <v>0.8145</v>
      </c>
      <c r="AJ855">
        <v>0.8135</v>
      </c>
      <c r="CI855" t="s">
        <v>105</v>
      </c>
    </row>
    <row r="856" spans="1:87" x14ac:dyDescent="0.45">
      <c r="A856" t="s">
        <v>24</v>
      </c>
      <c r="B856" t="s">
        <v>3</v>
      </c>
      <c r="C856" t="s">
        <v>46</v>
      </c>
      <c r="D856" t="s">
        <v>106</v>
      </c>
      <c r="E856" t="s">
        <v>107</v>
      </c>
      <c r="F856">
        <v>0</v>
      </c>
      <c r="K856">
        <v>40.619599999999998</v>
      </c>
      <c r="P856">
        <v>40.877699999999997</v>
      </c>
      <c r="U856">
        <v>55.24</v>
      </c>
      <c r="Z856">
        <v>73.398700000000005</v>
      </c>
      <c r="AE856">
        <v>93.018600000000006</v>
      </c>
      <c r="AJ856">
        <v>114.4087</v>
      </c>
      <c r="CI856" t="s">
        <v>106</v>
      </c>
    </row>
    <row r="857" spans="1:87" x14ac:dyDescent="0.45">
      <c r="A857" t="s">
        <v>24</v>
      </c>
      <c r="B857" t="s">
        <v>3</v>
      </c>
      <c r="C857" t="s">
        <v>46</v>
      </c>
      <c r="D857" t="s">
        <v>108</v>
      </c>
      <c r="E857" t="s">
        <v>31</v>
      </c>
      <c r="F857">
        <v>6.4366000000000003</v>
      </c>
      <c r="K857">
        <v>12.141299999999999</v>
      </c>
      <c r="P857">
        <v>12.3719</v>
      </c>
      <c r="U857">
        <v>12.1693</v>
      </c>
      <c r="Z857">
        <v>13.4017</v>
      </c>
      <c r="AE857">
        <v>15.413600000000001</v>
      </c>
      <c r="AJ857">
        <v>18.9785</v>
      </c>
      <c r="CI857" t="s">
        <v>108</v>
      </c>
    </row>
    <row r="858" spans="1:87" x14ac:dyDescent="0.45">
      <c r="A858" t="s">
        <v>24</v>
      </c>
      <c r="B858" t="s">
        <v>3</v>
      </c>
      <c r="C858" t="s">
        <v>46</v>
      </c>
      <c r="D858" t="s">
        <v>109</v>
      </c>
      <c r="E858" t="s">
        <v>31</v>
      </c>
      <c r="F858">
        <v>13.0496</v>
      </c>
      <c r="K858">
        <v>10.955399999999999</v>
      </c>
      <c r="P858">
        <v>9.9283999999999999</v>
      </c>
      <c r="U858">
        <v>11.190099999999999</v>
      </c>
      <c r="Z858">
        <v>12.451499999999999</v>
      </c>
      <c r="AE858">
        <v>10.146599999999999</v>
      </c>
      <c r="AJ858">
        <v>11.843400000000001</v>
      </c>
      <c r="CI858" t="s">
        <v>109</v>
      </c>
    </row>
    <row r="859" spans="1:87" x14ac:dyDescent="0.45">
      <c r="A859" t="s">
        <v>24</v>
      </c>
      <c r="B859" t="s">
        <v>3</v>
      </c>
      <c r="C859" t="s">
        <v>46</v>
      </c>
      <c r="D859" t="s">
        <v>110</v>
      </c>
      <c r="E859" t="s">
        <v>31</v>
      </c>
      <c r="F859">
        <v>0</v>
      </c>
      <c r="K859">
        <v>0</v>
      </c>
      <c r="P859">
        <v>0</v>
      </c>
      <c r="U859">
        <v>0</v>
      </c>
      <c r="Z859">
        <v>0</v>
      </c>
      <c r="AE859">
        <v>0</v>
      </c>
      <c r="AJ859">
        <v>0</v>
      </c>
      <c r="CI859" t="s">
        <v>110</v>
      </c>
    </row>
    <row r="860" spans="1:87" x14ac:dyDescent="0.45">
      <c r="A860" t="s">
        <v>24</v>
      </c>
      <c r="B860" t="s">
        <v>3</v>
      </c>
      <c r="C860" t="s">
        <v>46</v>
      </c>
      <c r="D860" t="s">
        <v>111</v>
      </c>
      <c r="E860" t="s">
        <v>31</v>
      </c>
      <c r="F860">
        <v>49.3825</v>
      </c>
      <c r="K860">
        <v>7.7740999999999998</v>
      </c>
      <c r="P860">
        <v>25.526</v>
      </c>
      <c r="U860">
        <v>23.035699999999999</v>
      </c>
      <c r="Z860">
        <v>25.062000000000001</v>
      </c>
      <c r="AE860">
        <v>42.6646</v>
      </c>
      <c r="AJ860">
        <v>25.080500000000001</v>
      </c>
      <c r="CI860" t="s">
        <v>111</v>
      </c>
    </row>
    <row r="861" spans="1:87" x14ac:dyDescent="0.45">
      <c r="A861" t="s">
        <v>24</v>
      </c>
      <c r="B861" t="s">
        <v>3</v>
      </c>
      <c r="C861" t="s">
        <v>46</v>
      </c>
      <c r="D861" t="s">
        <v>112</v>
      </c>
      <c r="E861" t="s">
        <v>26</v>
      </c>
      <c r="F861">
        <v>81.319299999999998</v>
      </c>
      <c r="K861">
        <v>78.023899999999998</v>
      </c>
      <c r="P861">
        <v>73.1113</v>
      </c>
      <c r="U861">
        <v>72.432299999999998</v>
      </c>
      <c r="Z861">
        <v>70.589600000000004</v>
      </c>
      <c r="AE861">
        <v>67.822800000000001</v>
      </c>
      <c r="AJ861">
        <v>63.184699999999999</v>
      </c>
      <c r="CI861" t="s">
        <v>112</v>
      </c>
    </row>
    <row r="862" spans="1:87" x14ac:dyDescent="0.45">
      <c r="A862" t="s">
        <v>24</v>
      </c>
      <c r="B862" t="s">
        <v>3</v>
      </c>
      <c r="C862" t="s">
        <v>46</v>
      </c>
      <c r="D862" t="s">
        <v>113</v>
      </c>
      <c r="E862" t="s">
        <v>26</v>
      </c>
      <c r="F862">
        <v>6.7447999999999997</v>
      </c>
      <c r="K862">
        <v>6.7062999999999997</v>
      </c>
      <c r="P862">
        <v>7.6978</v>
      </c>
      <c r="U862">
        <v>6.7386999999999997</v>
      </c>
      <c r="Z862">
        <v>6.5349000000000004</v>
      </c>
      <c r="AE862">
        <v>5.8369</v>
      </c>
      <c r="AJ862">
        <v>5.1292</v>
      </c>
      <c r="CI862" t="s">
        <v>113</v>
      </c>
    </row>
    <row r="863" spans="1:87" x14ac:dyDescent="0.45">
      <c r="A863" t="s">
        <v>24</v>
      </c>
      <c r="B863" t="s">
        <v>3</v>
      </c>
      <c r="C863" t="s">
        <v>46</v>
      </c>
      <c r="D863" t="s">
        <v>114</v>
      </c>
      <c r="E863" t="s">
        <v>26</v>
      </c>
      <c r="F863">
        <v>13.482900000000001</v>
      </c>
      <c r="K863">
        <v>7.0084</v>
      </c>
      <c r="P863">
        <v>2.6343999999999999</v>
      </c>
      <c r="U863">
        <v>1.6134999999999999</v>
      </c>
      <c r="Z863">
        <v>0.65820000000000001</v>
      </c>
      <c r="AE863">
        <v>0.40799999999999997</v>
      </c>
      <c r="AJ863">
        <v>0.2621</v>
      </c>
      <c r="CI863" t="s">
        <v>114</v>
      </c>
    </row>
    <row r="864" spans="1:87" x14ac:dyDescent="0.45">
      <c r="A864" t="s">
        <v>24</v>
      </c>
      <c r="B864" t="s">
        <v>3</v>
      </c>
      <c r="C864" t="s">
        <v>46</v>
      </c>
      <c r="D864" t="s">
        <v>115</v>
      </c>
      <c r="E864" t="s">
        <v>26</v>
      </c>
      <c r="F864">
        <v>0</v>
      </c>
      <c r="K864">
        <v>0</v>
      </c>
      <c r="P864">
        <v>0</v>
      </c>
      <c r="U864">
        <v>0</v>
      </c>
      <c r="Z864">
        <v>7.0400000000000004E-2</v>
      </c>
      <c r="AE864">
        <v>0.2515</v>
      </c>
      <c r="AJ864">
        <v>0.22159999999999999</v>
      </c>
      <c r="CI864" t="s">
        <v>115</v>
      </c>
    </row>
    <row r="865" spans="1:87" x14ac:dyDescent="0.45">
      <c r="A865" t="s">
        <v>24</v>
      </c>
      <c r="B865" t="s">
        <v>3</v>
      </c>
      <c r="C865" t="s">
        <v>46</v>
      </c>
      <c r="D865" t="s">
        <v>116</v>
      </c>
      <c r="E865" t="s">
        <v>26</v>
      </c>
      <c r="F865">
        <v>13.482900000000001</v>
      </c>
      <c r="K865">
        <v>7.0084</v>
      </c>
      <c r="P865">
        <v>2.6343999999999999</v>
      </c>
      <c r="U865">
        <v>1.6134999999999999</v>
      </c>
      <c r="Z865">
        <v>0.58779999999999999</v>
      </c>
      <c r="AE865">
        <v>0.1565</v>
      </c>
      <c r="AJ865">
        <v>4.0500000000000001E-2</v>
      </c>
      <c r="CI865" t="s">
        <v>116</v>
      </c>
    </row>
    <row r="866" spans="1:87" x14ac:dyDescent="0.45">
      <c r="A866" t="s">
        <v>24</v>
      </c>
      <c r="B866" t="s">
        <v>3</v>
      </c>
      <c r="C866" t="s">
        <v>46</v>
      </c>
      <c r="D866" t="s">
        <v>117</v>
      </c>
      <c r="E866" t="s">
        <v>26</v>
      </c>
      <c r="F866">
        <v>67.962500000000006</v>
      </c>
      <c r="K866">
        <v>62.353400000000001</v>
      </c>
      <c r="P866">
        <v>53.942799999999998</v>
      </c>
      <c r="U866">
        <v>52.632599999999996</v>
      </c>
      <c r="Z866">
        <v>49.247300000000003</v>
      </c>
      <c r="AE866">
        <v>44.3596</v>
      </c>
      <c r="AJ866">
        <v>35.458500000000001</v>
      </c>
      <c r="CI866" t="s">
        <v>117</v>
      </c>
    </row>
    <row r="867" spans="1:87" x14ac:dyDescent="0.45">
      <c r="A867" t="s">
        <v>24</v>
      </c>
      <c r="B867" t="s">
        <v>3</v>
      </c>
      <c r="C867" t="s">
        <v>46</v>
      </c>
      <c r="D867" t="s">
        <v>118</v>
      </c>
      <c r="E867" t="s">
        <v>26</v>
      </c>
      <c r="F867">
        <v>0</v>
      </c>
      <c r="K867">
        <v>0</v>
      </c>
      <c r="P867">
        <v>0.1482</v>
      </c>
      <c r="U867">
        <v>0.40989999999999999</v>
      </c>
      <c r="Z867">
        <v>0.92989999999999995</v>
      </c>
      <c r="AE867">
        <v>1.9052</v>
      </c>
      <c r="AJ867">
        <v>3.4418000000000002</v>
      </c>
      <c r="CI867" t="s">
        <v>118</v>
      </c>
    </row>
    <row r="868" spans="1:87" x14ac:dyDescent="0.45">
      <c r="A868" t="s">
        <v>24</v>
      </c>
      <c r="B868" t="s">
        <v>3</v>
      </c>
      <c r="C868" t="s">
        <v>46</v>
      </c>
      <c r="D868" t="s">
        <v>119</v>
      </c>
      <c r="E868" t="s">
        <v>26</v>
      </c>
      <c r="F868">
        <v>67.962500000000006</v>
      </c>
      <c r="K868">
        <v>62.353400000000001</v>
      </c>
      <c r="P868">
        <v>53.790300000000002</v>
      </c>
      <c r="U868">
        <v>52.213700000000003</v>
      </c>
      <c r="Z868">
        <v>48.304000000000002</v>
      </c>
      <c r="AE868">
        <v>42.440800000000003</v>
      </c>
      <c r="AJ868">
        <v>32.0167</v>
      </c>
      <c r="CI868" t="s">
        <v>119</v>
      </c>
    </row>
    <row r="869" spans="1:87" x14ac:dyDescent="0.45">
      <c r="A869" t="s">
        <v>24</v>
      </c>
      <c r="B869" t="s">
        <v>3</v>
      </c>
      <c r="C869" t="s">
        <v>46</v>
      </c>
      <c r="D869" t="s">
        <v>120</v>
      </c>
      <c r="E869" t="s">
        <v>26</v>
      </c>
      <c r="F869">
        <v>23.406199999999998</v>
      </c>
      <c r="K869">
        <v>22.7956</v>
      </c>
      <c r="P869">
        <v>22.579000000000001</v>
      </c>
      <c r="U869">
        <v>26.033899999999999</v>
      </c>
      <c r="Z869">
        <v>26.553699999999999</v>
      </c>
      <c r="AE869">
        <v>25.544</v>
      </c>
      <c r="AJ869">
        <v>21.377400000000002</v>
      </c>
      <c r="CI869" t="s">
        <v>120</v>
      </c>
    </row>
    <row r="870" spans="1:87" x14ac:dyDescent="0.45">
      <c r="A870" t="s">
        <v>24</v>
      </c>
      <c r="B870" t="s">
        <v>3</v>
      </c>
      <c r="C870" t="s">
        <v>46</v>
      </c>
      <c r="D870" t="s">
        <v>121</v>
      </c>
      <c r="E870" t="s">
        <v>26</v>
      </c>
      <c r="F870">
        <v>0</v>
      </c>
      <c r="K870">
        <v>0</v>
      </c>
      <c r="P870">
        <v>0.1482</v>
      </c>
      <c r="U870">
        <v>0.40989999999999999</v>
      </c>
      <c r="Z870">
        <v>0.85950000000000004</v>
      </c>
      <c r="AE870">
        <v>1.6536999999999999</v>
      </c>
      <c r="AJ870">
        <v>3.2202999999999999</v>
      </c>
      <c r="CI870" t="s">
        <v>121</v>
      </c>
    </row>
    <row r="871" spans="1:87" x14ac:dyDescent="0.45">
      <c r="A871" t="s">
        <v>24</v>
      </c>
      <c r="B871" t="s">
        <v>3</v>
      </c>
      <c r="C871" t="s">
        <v>46</v>
      </c>
      <c r="D871" t="s">
        <v>122</v>
      </c>
      <c r="E871" t="s">
        <v>26</v>
      </c>
      <c r="F871">
        <v>23.406199999999998</v>
      </c>
      <c r="K871">
        <v>22.7956</v>
      </c>
      <c r="P871">
        <v>22.430800000000001</v>
      </c>
      <c r="U871">
        <v>25.623999999999999</v>
      </c>
      <c r="Z871">
        <v>25.694199999999999</v>
      </c>
      <c r="AE871">
        <v>23.8903</v>
      </c>
      <c r="AJ871">
        <v>18.1572</v>
      </c>
      <c r="CI871" t="s">
        <v>122</v>
      </c>
    </row>
    <row r="872" spans="1:87" x14ac:dyDescent="0.45">
      <c r="A872" t="s">
        <v>24</v>
      </c>
      <c r="B872" t="s">
        <v>3</v>
      </c>
      <c r="C872" t="s">
        <v>46</v>
      </c>
      <c r="D872" t="s">
        <v>123</v>
      </c>
      <c r="E872" t="s">
        <v>26</v>
      </c>
      <c r="F872">
        <v>8.9599999999999999E-2</v>
      </c>
      <c r="K872">
        <v>0.1052</v>
      </c>
      <c r="P872">
        <v>0.19950000000000001</v>
      </c>
      <c r="U872">
        <v>0.29799999999999999</v>
      </c>
      <c r="Z872">
        <v>0.40389999999999998</v>
      </c>
      <c r="AE872">
        <v>0.64800000000000002</v>
      </c>
      <c r="AJ872">
        <v>0.99060000000000004</v>
      </c>
      <c r="CI872" t="s">
        <v>123</v>
      </c>
    </row>
    <row r="873" spans="1:87" x14ac:dyDescent="0.45">
      <c r="A873" t="s">
        <v>24</v>
      </c>
      <c r="B873" t="s">
        <v>3</v>
      </c>
      <c r="C873" t="s">
        <v>46</v>
      </c>
      <c r="D873" t="s">
        <v>124</v>
      </c>
      <c r="E873" t="s">
        <v>26</v>
      </c>
      <c r="F873">
        <v>1.1474</v>
      </c>
      <c r="K873">
        <v>1.1392</v>
      </c>
      <c r="P873">
        <v>1.4846999999999999</v>
      </c>
      <c r="U873">
        <v>1.5262</v>
      </c>
      <c r="Z873">
        <v>1.5661</v>
      </c>
      <c r="AE873">
        <v>1.5967</v>
      </c>
      <c r="AJ873">
        <v>1.6261000000000001</v>
      </c>
      <c r="CI873" t="s">
        <v>124</v>
      </c>
    </row>
    <row r="874" spans="1:87" x14ac:dyDescent="0.45">
      <c r="A874" t="s">
        <v>24</v>
      </c>
      <c r="B874" t="s">
        <v>3</v>
      </c>
      <c r="C874" t="s">
        <v>46</v>
      </c>
      <c r="D874" t="s">
        <v>125</v>
      </c>
      <c r="E874" t="s">
        <v>26</v>
      </c>
      <c r="F874">
        <v>3.0329000000000002</v>
      </c>
      <c r="K874">
        <v>3.089</v>
      </c>
      <c r="P874">
        <v>3.3462000000000001</v>
      </c>
      <c r="U874">
        <v>3.0175000000000001</v>
      </c>
      <c r="Z874">
        <v>3.2239</v>
      </c>
      <c r="AE874">
        <v>3.3913000000000002</v>
      </c>
      <c r="AJ874">
        <v>3.7719</v>
      </c>
      <c r="CI874" t="s">
        <v>125</v>
      </c>
    </row>
    <row r="875" spans="1:87" x14ac:dyDescent="0.45">
      <c r="A875" t="s">
        <v>24</v>
      </c>
      <c r="B875" t="s">
        <v>3</v>
      </c>
      <c r="C875" t="s">
        <v>46</v>
      </c>
      <c r="D875" t="s">
        <v>126</v>
      </c>
      <c r="E875" t="s">
        <v>26</v>
      </c>
      <c r="F875">
        <v>31.073499999999999</v>
      </c>
      <c r="K875">
        <v>32.549399999999999</v>
      </c>
      <c r="P875">
        <v>28.725100000000001</v>
      </c>
      <c r="U875">
        <v>24.976099999999999</v>
      </c>
      <c r="Z875">
        <v>22.021899999999999</v>
      </c>
      <c r="AE875">
        <v>18.393999999999998</v>
      </c>
      <c r="AJ875">
        <v>13.819000000000001</v>
      </c>
      <c r="CI875" t="s">
        <v>126</v>
      </c>
    </row>
    <row r="876" spans="1:87" x14ac:dyDescent="0.45">
      <c r="A876" t="s">
        <v>24</v>
      </c>
      <c r="B876" t="s">
        <v>3</v>
      </c>
      <c r="C876" t="s">
        <v>46</v>
      </c>
      <c r="D876" t="s">
        <v>127</v>
      </c>
      <c r="E876" t="s">
        <v>26</v>
      </c>
      <c r="F876">
        <v>31.073499999999999</v>
      </c>
      <c r="K876">
        <v>32.549399999999999</v>
      </c>
      <c r="P876">
        <v>28.725100000000001</v>
      </c>
      <c r="U876">
        <v>24.976099999999999</v>
      </c>
      <c r="Z876">
        <v>22.021899999999999</v>
      </c>
      <c r="AE876">
        <v>18.393999999999998</v>
      </c>
      <c r="AJ876">
        <v>13.819000000000001</v>
      </c>
      <c r="CI876" t="s">
        <v>127</v>
      </c>
    </row>
    <row r="877" spans="1:87" x14ac:dyDescent="0.45">
      <c r="A877" t="s">
        <v>24</v>
      </c>
      <c r="B877" t="s">
        <v>3</v>
      </c>
      <c r="C877" t="s">
        <v>46</v>
      </c>
      <c r="D877" t="s">
        <v>128</v>
      </c>
      <c r="E877" t="s">
        <v>26</v>
      </c>
      <c r="F877">
        <v>0.92789999999999995</v>
      </c>
      <c r="K877">
        <v>1.4863999999999999</v>
      </c>
      <c r="P877">
        <v>3.2827999999999999</v>
      </c>
      <c r="U877">
        <v>5.0697999999999999</v>
      </c>
      <c r="Z877">
        <v>6.3704000000000001</v>
      </c>
      <c r="AE877">
        <v>8.1448</v>
      </c>
      <c r="AJ877">
        <v>10.004099999999999</v>
      </c>
      <c r="CI877" t="s">
        <v>128</v>
      </c>
    </row>
    <row r="878" spans="1:87" x14ac:dyDescent="0.45">
      <c r="A878" t="s">
        <v>24</v>
      </c>
      <c r="B878" t="s">
        <v>3</v>
      </c>
      <c r="C878" t="s">
        <v>46</v>
      </c>
      <c r="D878" t="s">
        <v>129</v>
      </c>
      <c r="E878" t="s">
        <v>26</v>
      </c>
      <c r="F878">
        <v>1.4140999999999999</v>
      </c>
      <c r="K878">
        <v>3.1442999999999999</v>
      </c>
      <c r="P878">
        <v>3.1619000000000002</v>
      </c>
      <c r="U878">
        <v>3.1585999999999999</v>
      </c>
      <c r="Z878">
        <v>3.2565</v>
      </c>
      <c r="AE878">
        <v>3.859</v>
      </c>
      <c r="AJ878">
        <v>6.2042999999999999</v>
      </c>
      <c r="CI878" t="s">
        <v>129</v>
      </c>
    </row>
    <row r="879" spans="1:87" x14ac:dyDescent="0.45">
      <c r="A879" t="s">
        <v>24</v>
      </c>
      <c r="B879" t="s">
        <v>3</v>
      </c>
      <c r="C879" t="s">
        <v>46</v>
      </c>
      <c r="D879" t="s">
        <v>130</v>
      </c>
      <c r="E879" t="s">
        <v>100</v>
      </c>
      <c r="F879">
        <v>0</v>
      </c>
      <c r="K879">
        <v>179.39760000000001</v>
      </c>
      <c r="P879">
        <v>142.4761</v>
      </c>
      <c r="U879">
        <v>180.91200000000001</v>
      </c>
      <c r="Z879">
        <v>215.8947</v>
      </c>
      <c r="AE879">
        <v>230.87479999999999</v>
      </c>
      <c r="AJ879">
        <v>211.94120000000001</v>
      </c>
      <c r="CI879" t="s">
        <v>130</v>
      </c>
    </row>
    <row r="880" spans="1:87" x14ac:dyDescent="0.45">
      <c r="A880" t="s">
        <v>24</v>
      </c>
      <c r="B880" t="s">
        <v>3</v>
      </c>
      <c r="C880" t="s">
        <v>46</v>
      </c>
      <c r="D880" t="s">
        <v>131</v>
      </c>
      <c r="E880" t="s">
        <v>100</v>
      </c>
      <c r="F880">
        <v>0</v>
      </c>
      <c r="K880">
        <v>15.7263</v>
      </c>
      <c r="P880">
        <v>17.2166</v>
      </c>
      <c r="U880">
        <v>22.182099999999998</v>
      </c>
      <c r="Z880">
        <v>24.4693</v>
      </c>
      <c r="AE880">
        <v>30.094200000000001</v>
      </c>
      <c r="AJ880">
        <v>31.486000000000001</v>
      </c>
      <c r="CI880" t="s">
        <v>131</v>
      </c>
    </row>
    <row r="881" spans="1:87" x14ac:dyDescent="0.45">
      <c r="A881" t="s">
        <v>24</v>
      </c>
      <c r="B881" t="s">
        <v>3</v>
      </c>
      <c r="C881" t="s">
        <v>46</v>
      </c>
      <c r="D881" t="s">
        <v>132</v>
      </c>
      <c r="E881" t="s">
        <v>100</v>
      </c>
      <c r="F881">
        <v>0</v>
      </c>
      <c r="K881">
        <v>22.017600000000002</v>
      </c>
      <c r="P881">
        <v>22.868400000000001</v>
      </c>
      <c r="U881">
        <v>25.195</v>
      </c>
      <c r="Z881">
        <v>26.3886</v>
      </c>
      <c r="AE881">
        <v>29.143699999999999</v>
      </c>
      <c r="AJ881">
        <v>29.643000000000001</v>
      </c>
      <c r="CI881" t="s">
        <v>132</v>
      </c>
    </row>
    <row r="882" spans="1:87" x14ac:dyDescent="0.45">
      <c r="A882" t="s">
        <v>24</v>
      </c>
      <c r="B882" t="s">
        <v>3</v>
      </c>
      <c r="C882" t="s">
        <v>46</v>
      </c>
      <c r="D882" t="s">
        <v>133</v>
      </c>
      <c r="E882" t="s">
        <v>100</v>
      </c>
      <c r="F882">
        <v>0</v>
      </c>
      <c r="K882">
        <v>73.088700000000003</v>
      </c>
      <c r="P882">
        <v>58.527900000000002</v>
      </c>
      <c r="U882">
        <v>75.623400000000004</v>
      </c>
      <c r="Z882">
        <v>91.833600000000004</v>
      </c>
      <c r="AE882">
        <v>93.846100000000007</v>
      </c>
      <c r="AJ882">
        <v>83.158199999999994</v>
      </c>
      <c r="CI882" t="s">
        <v>133</v>
      </c>
    </row>
    <row r="883" spans="1:87" x14ac:dyDescent="0.45">
      <c r="A883" t="s">
        <v>24</v>
      </c>
      <c r="B883" t="s">
        <v>3</v>
      </c>
      <c r="C883" t="s">
        <v>46</v>
      </c>
      <c r="D883" t="s">
        <v>134</v>
      </c>
      <c r="E883" t="s">
        <v>100</v>
      </c>
      <c r="F883">
        <v>0</v>
      </c>
      <c r="K883">
        <v>68.564899999999994</v>
      </c>
      <c r="P883">
        <v>43.863199999999999</v>
      </c>
      <c r="U883">
        <v>57.9116</v>
      </c>
      <c r="Z883">
        <v>73.203199999999995</v>
      </c>
      <c r="AE883">
        <v>77.790800000000004</v>
      </c>
      <c r="AJ883">
        <v>67.653999999999996</v>
      </c>
      <c r="CI883" t="s">
        <v>134</v>
      </c>
    </row>
    <row r="884" spans="1:87" x14ac:dyDescent="0.45">
      <c r="A884" t="s">
        <v>24</v>
      </c>
      <c r="B884" t="s">
        <v>3</v>
      </c>
      <c r="C884" t="s">
        <v>46</v>
      </c>
      <c r="D884" t="s">
        <v>135</v>
      </c>
      <c r="E884" t="s">
        <v>26</v>
      </c>
      <c r="F884">
        <v>4.7743000000000002</v>
      </c>
      <c r="K884">
        <v>2.4567000000000001</v>
      </c>
      <c r="P884">
        <v>0.74250000000000005</v>
      </c>
      <c r="U884">
        <v>0.38450000000000001</v>
      </c>
      <c r="Z884">
        <v>0.16539999999999999</v>
      </c>
      <c r="AE884">
        <v>5.1900000000000002E-2</v>
      </c>
      <c r="AJ884">
        <v>5.4000000000000003E-3</v>
      </c>
      <c r="CI884" t="s">
        <v>135</v>
      </c>
    </row>
    <row r="885" spans="1:87" x14ac:dyDescent="0.45">
      <c r="A885" t="s">
        <v>24</v>
      </c>
      <c r="B885" t="s">
        <v>3</v>
      </c>
      <c r="C885" t="s">
        <v>46</v>
      </c>
      <c r="D885" t="s">
        <v>136</v>
      </c>
      <c r="E885" t="s">
        <v>26</v>
      </c>
      <c r="F885">
        <v>4.3848000000000003</v>
      </c>
      <c r="K885">
        <v>6.1978</v>
      </c>
      <c r="P885">
        <v>6.7561</v>
      </c>
      <c r="U885">
        <v>7.9645000000000001</v>
      </c>
      <c r="Z885">
        <v>8.7364999999999995</v>
      </c>
      <c r="AE885">
        <v>8.6698000000000004</v>
      </c>
      <c r="AJ885">
        <v>6.9614000000000003</v>
      </c>
      <c r="CI885" t="s">
        <v>136</v>
      </c>
    </row>
    <row r="886" spans="1:87" x14ac:dyDescent="0.45">
      <c r="A886" t="s">
        <v>24</v>
      </c>
      <c r="B886" t="s">
        <v>3</v>
      </c>
      <c r="C886" t="s">
        <v>46</v>
      </c>
      <c r="D886" t="s">
        <v>137</v>
      </c>
      <c r="E886" t="s">
        <v>26</v>
      </c>
      <c r="F886">
        <v>5.6300000000000003E-2</v>
      </c>
      <c r="K886">
        <v>7.5600000000000001E-2</v>
      </c>
      <c r="P886">
        <v>0.15379999999999999</v>
      </c>
      <c r="U886">
        <v>0.2467</v>
      </c>
      <c r="Z886">
        <v>0.35720000000000002</v>
      </c>
      <c r="AE886">
        <v>0.59140000000000004</v>
      </c>
      <c r="AJ886">
        <v>0.93259999999999998</v>
      </c>
      <c r="CI886" t="s">
        <v>137</v>
      </c>
    </row>
    <row r="887" spans="1:87" x14ac:dyDescent="0.45">
      <c r="A887" t="s">
        <v>24</v>
      </c>
      <c r="B887" t="s">
        <v>3</v>
      </c>
      <c r="C887" t="s">
        <v>46</v>
      </c>
      <c r="D887" t="s">
        <v>138</v>
      </c>
      <c r="E887" t="s">
        <v>26</v>
      </c>
      <c r="F887">
        <v>1.1474</v>
      </c>
      <c r="K887">
        <v>1.1392</v>
      </c>
      <c r="P887">
        <v>1.4846999999999999</v>
      </c>
      <c r="U887">
        <v>1.5262</v>
      </c>
      <c r="Z887">
        <v>1.5661</v>
      </c>
      <c r="AE887">
        <v>1.5967</v>
      </c>
      <c r="AJ887">
        <v>1.6261000000000001</v>
      </c>
      <c r="CI887" t="s">
        <v>138</v>
      </c>
    </row>
    <row r="888" spans="1:87" x14ac:dyDescent="0.45">
      <c r="A888" t="s">
        <v>24</v>
      </c>
      <c r="B888" t="s">
        <v>3</v>
      </c>
      <c r="C888" t="s">
        <v>46</v>
      </c>
      <c r="D888" t="s">
        <v>139</v>
      </c>
      <c r="E888" t="s">
        <v>26</v>
      </c>
      <c r="F888">
        <v>3.0291999999999999</v>
      </c>
      <c r="K888">
        <v>3.0806</v>
      </c>
      <c r="P888">
        <v>3.3250000000000002</v>
      </c>
      <c r="U888">
        <v>2.9910000000000001</v>
      </c>
      <c r="Z888">
        <v>3.1905999999999999</v>
      </c>
      <c r="AE888">
        <v>3.3481999999999998</v>
      </c>
      <c r="AJ888">
        <v>3.7071999999999998</v>
      </c>
      <c r="CI888" t="s">
        <v>139</v>
      </c>
    </row>
    <row r="889" spans="1:87" x14ac:dyDescent="0.45">
      <c r="A889" t="s">
        <v>24</v>
      </c>
      <c r="B889" t="s">
        <v>3</v>
      </c>
      <c r="C889" t="s">
        <v>46</v>
      </c>
      <c r="D889" t="s">
        <v>140</v>
      </c>
      <c r="E889" t="s">
        <v>26</v>
      </c>
      <c r="F889">
        <v>0.67420000000000002</v>
      </c>
      <c r="K889">
        <v>0.5978</v>
      </c>
      <c r="P889">
        <v>0.31640000000000001</v>
      </c>
      <c r="U889">
        <v>1.67E-2</v>
      </c>
      <c r="Z889">
        <v>0</v>
      </c>
      <c r="AE889">
        <v>0</v>
      </c>
      <c r="AJ889">
        <v>0</v>
      </c>
      <c r="CI889" t="s">
        <v>140</v>
      </c>
    </row>
    <row r="890" spans="1:87" x14ac:dyDescent="0.45">
      <c r="A890" t="s">
        <v>24</v>
      </c>
      <c r="B890" t="s">
        <v>3</v>
      </c>
      <c r="C890" t="s">
        <v>46</v>
      </c>
      <c r="D890" t="s">
        <v>141</v>
      </c>
      <c r="E890" t="s">
        <v>26</v>
      </c>
      <c r="F890">
        <v>0.73009999999999997</v>
      </c>
      <c r="K890">
        <v>0.64790000000000003</v>
      </c>
      <c r="P890">
        <v>2.7650000000000001</v>
      </c>
      <c r="U890">
        <v>3.4447000000000001</v>
      </c>
      <c r="Z890">
        <v>3.6128</v>
      </c>
      <c r="AE890">
        <v>4.9013999999999998</v>
      </c>
      <c r="AJ890">
        <v>6.1891999999999996</v>
      </c>
      <c r="CI890" t="s">
        <v>141</v>
      </c>
    </row>
    <row r="891" spans="1:87" x14ac:dyDescent="0.45">
      <c r="A891" t="s">
        <v>24</v>
      </c>
      <c r="B891" t="s">
        <v>3</v>
      </c>
      <c r="C891" t="s">
        <v>46</v>
      </c>
      <c r="D891" t="s">
        <v>142</v>
      </c>
      <c r="E891" t="s">
        <v>26</v>
      </c>
      <c r="F891">
        <v>2.8090999999999999</v>
      </c>
      <c r="K891">
        <v>2.6886000000000001</v>
      </c>
      <c r="P891">
        <v>3.3582000000000001</v>
      </c>
      <c r="U891">
        <v>3.5053000000000001</v>
      </c>
      <c r="Z891">
        <v>3.1029</v>
      </c>
      <c r="AE891">
        <v>3.0369000000000002</v>
      </c>
      <c r="AJ891">
        <v>3.1297000000000001</v>
      </c>
      <c r="CI891" t="s">
        <v>142</v>
      </c>
    </row>
    <row r="892" spans="1:87" x14ac:dyDescent="0.45">
      <c r="A892" t="s">
        <v>24</v>
      </c>
      <c r="B892" t="s">
        <v>3</v>
      </c>
      <c r="C892" t="s">
        <v>46</v>
      </c>
      <c r="D892" t="s">
        <v>143</v>
      </c>
      <c r="E892" t="s">
        <v>26</v>
      </c>
      <c r="F892">
        <v>1.4140999999999999</v>
      </c>
      <c r="K892">
        <v>3.1442999999999999</v>
      </c>
      <c r="P892">
        <v>3.1619000000000002</v>
      </c>
      <c r="U892">
        <v>3.1585999999999999</v>
      </c>
      <c r="Z892">
        <v>3.2565</v>
      </c>
      <c r="AE892">
        <v>3.859</v>
      </c>
      <c r="AJ892">
        <v>6.2042999999999999</v>
      </c>
      <c r="CI892" t="s">
        <v>143</v>
      </c>
    </row>
    <row r="893" spans="1:87" x14ac:dyDescent="0.45">
      <c r="A893" t="s">
        <v>24</v>
      </c>
      <c r="B893" t="s">
        <v>3</v>
      </c>
      <c r="C893" t="s">
        <v>46</v>
      </c>
      <c r="D893" t="s">
        <v>144</v>
      </c>
      <c r="E893" t="s">
        <v>26</v>
      </c>
      <c r="F893">
        <v>21.868099999999998</v>
      </c>
      <c r="K893">
        <v>20.8492</v>
      </c>
      <c r="P893">
        <v>20.385300000000001</v>
      </c>
      <c r="U893">
        <v>23.1983</v>
      </c>
      <c r="Z893">
        <v>23.5395</v>
      </c>
      <c r="AE893">
        <v>22.706600000000002</v>
      </c>
      <c r="AJ893">
        <v>19.136099999999999</v>
      </c>
      <c r="CI893" t="s">
        <v>144</v>
      </c>
    </row>
    <row r="894" spans="1:87" x14ac:dyDescent="0.45">
      <c r="A894" t="s">
        <v>24</v>
      </c>
      <c r="B894" t="s">
        <v>3</v>
      </c>
      <c r="C894" t="s">
        <v>46</v>
      </c>
      <c r="D894" t="s">
        <v>145</v>
      </c>
      <c r="E894" t="s">
        <v>26</v>
      </c>
      <c r="F894">
        <v>21.868099999999998</v>
      </c>
      <c r="K894">
        <v>20.8492</v>
      </c>
      <c r="P894">
        <v>20.385300000000001</v>
      </c>
      <c r="U894">
        <v>23.1983</v>
      </c>
      <c r="Z894">
        <v>23.5395</v>
      </c>
      <c r="AE894">
        <v>22.4633</v>
      </c>
      <c r="AJ894">
        <v>18.619800000000001</v>
      </c>
      <c r="CI894" t="s">
        <v>145</v>
      </c>
    </row>
    <row r="895" spans="1:87" x14ac:dyDescent="0.45">
      <c r="A895" t="s">
        <v>24</v>
      </c>
      <c r="B895" t="s">
        <v>3</v>
      </c>
      <c r="C895" t="s">
        <v>46</v>
      </c>
      <c r="D895" t="s">
        <v>146</v>
      </c>
      <c r="E895" t="s">
        <v>26</v>
      </c>
      <c r="F895">
        <v>0</v>
      </c>
      <c r="K895">
        <v>0</v>
      </c>
      <c r="P895">
        <v>0</v>
      </c>
      <c r="U895">
        <v>0</v>
      </c>
      <c r="Z895">
        <v>0</v>
      </c>
      <c r="AE895">
        <v>0.23810000000000001</v>
      </c>
      <c r="AJ895">
        <v>0.503</v>
      </c>
      <c r="CI895" t="s">
        <v>146</v>
      </c>
    </row>
    <row r="896" spans="1:87" x14ac:dyDescent="0.45">
      <c r="A896" t="s">
        <v>24</v>
      </c>
      <c r="B896" t="s">
        <v>3</v>
      </c>
      <c r="C896" t="s">
        <v>46</v>
      </c>
      <c r="D896" t="s">
        <v>147</v>
      </c>
      <c r="E896" t="s">
        <v>26</v>
      </c>
      <c r="F896">
        <v>0.32290000000000002</v>
      </c>
      <c r="K896">
        <v>0.38569999999999999</v>
      </c>
      <c r="P896">
        <v>0.60599999999999998</v>
      </c>
      <c r="U896">
        <v>0.7702</v>
      </c>
      <c r="Z896">
        <v>0.90869999999999995</v>
      </c>
      <c r="AE896">
        <v>1.1563000000000001</v>
      </c>
      <c r="AJ896">
        <v>1.4898</v>
      </c>
      <c r="CI896" t="s">
        <v>147</v>
      </c>
    </row>
    <row r="897" spans="1:87" x14ac:dyDescent="0.45">
      <c r="A897" t="s">
        <v>24</v>
      </c>
      <c r="B897" t="s">
        <v>3</v>
      </c>
      <c r="C897" t="s">
        <v>46</v>
      </c>
      <c r="D897" t="s">
        <v>148</v>
      </c>
      <c r="E897" t="s">
        <v>26</v>
      </c>
      <c r="F897">
        <v>0.1328</v>
      </c>
      <c r="K897">
        <v>0.12770000000000001</v>
      </c>
      <c r="P897">
        <v>5.4699999999999999E-2</v>
      </c>
      <c r="U897">
        <v>5.2699999999999997E-2</v>
      </c>
      <c r="Z897">
        <v>0.1017</v>
      </c>
      <c r="AE897">
        <v>0.27329999999999999</v>
      </c>
      <c r="AJ897">
        <v>0.43430000000000002</v>
      </c>
      <c r="CI897" t="s">
        <v>148</v>
      </c>
    </row>
    <row r="898" spans="1:87" x14ac:dyDescent="0.45">
      <c r="A898" t="s">
        <v>24</v>
      </c>
      <c r="B898" t="s">
        <v>3</v>
      </c>
      <c r="C898" t="s">
        <v>46</v>
      </c>
      <c r="D898" t="s">
        <v>149</v>
      </c>
      <c r="E898" t="s">
        <v>26</v>
      </c>
      <c r="F898">
        <v>27.6</v>
      </c>
      <c r="K898">
        <v>23.851299999999998</v>
      </c>
      <c r="P898">
        <v>22.802</v>
      </c>
      <c r="U898">
        <v>19.306899999999999</v>
      </c>
      <c r="Z898">
        <v>18.4785</v>
      </c>
      <c r="AE898">
        <v>15.9504</v>
      </c>
      <c r="AJ898">
        <v>12.357699999999999</v>
      </c>
      <c r="CI898" t="s">
        <v>149</v>
      </c>
    </row>
    <row r="899" spans="1:87" x14ac:dyDescent="0.45">
      <c r="A899" t="s">
        <v>24</v>
      </c>
      <c r="B899" t="s">
        <v>3</v>
      </c>
      <c r="C899" t="s">
        <v>46</v>
      </c>
      <c r="D899" t="s">
        <v>150</v>
      </c>
      <c r="E899" t="s">
        <v>26</v>
      </c>
      <c r="F899">
        <v>2.6341999999999999</v>
      </c>
      <c r="K899">
        <v>2.4224999999999999</v>
      </c>
      <c r="P899">
        <v>3.0316999999999998</v>
      </c>
      <c r="U899">
        <v>2.6158000000000001</v>
      </c>
      <c r="Z899">
        <v>2.5478999999999998</v>
      </c>
      <c r="AE899">
        <v>2.1800999999999999</v>
      </c>
      <c r="AJ899">
        <v>1.7849999999999999</v>
      </c>
      <c r="CI899" t="s">
        <v>150</v>
      </c>
    </row>
    <row r="900" spans="1:87" x14ac:dyDescent="0.45">
      <c r="A900" t="s">
        <v>24</v>
      </c>
      <c r="B900" t="s">
        <v>3</v>
      </c>
      <c r="C900" t="s">
        <v>46</v>
      </c>
      <c r="D900" t="s">
        <v>151</v>
      </c>
      <c r="E900" t="s">
        <v>26</v>
      </c>
      <c r="F900">
        <v>4.0000000000000001E-3</v>
      </c>
      <c r="K900">
        <v>0</v>
      </c>
      <c r="P900">
        <v>0</v>
      </c>
      <c r="U900">
        <v>9.1000000000000004E-3</v>
      </c>
      <c r="Z900">
        <v>0</v>
      </c>
      <c r="AE900">
        <v>0</v>
      </c>
      <c r="AJ900">
        <v>0</v>
      </c>
      <c r="CI900" t="s">
        <v>151</v>
      </c>
    </row>
    <row r="901" spans="1:87" x14ac:dyDescent="0.45">
      <c r="A901" t="s">
        <v>24</v>
      </c>
      <c r="B901" t="s">
        <v>3</v>
      </c>
      <c r="C901" t="s">
        <v>46</v>
      </c>
      <c r="D901" t="s">
        <v>152</v>
      </c>
      <c r="E901" t="s">
        <v>26</v>
      </c>
      <c r="F901">
        <v>24.9618</v>
      </c>
      <c r="K901">
        <v>21.428799999999999</v>
      </c>
      <c r="P901">
        <v>19.770199999999999</v>
      </c>
      <c r="U901">
        <v>16.681999999999999</v>
      </c>
      <c r="Z901">
        <v>15.9306</v>
      </c>
      <c r="AE901">
        <v>13.770300000000001</v>
      </c>
      <c r="AJ901">
        <v>10.572699999999999</v>
      </c>
      <c r="CI901" t="s">
        <v>152</v>
      </c>
    </row>
    <row r="902" spans="1:87" x14ac:dyDescent="0.45">
      <c r="A902" t="s">
        <v>24</v>
      </c>
      <c r="B902" t="s">
        <v>3</v>
      </c>
      <c r="C902" t="s">
        <v>46</v>
      </c>
      <c r="D902" t="s">
        <v>153</v>
      </c>
      <c r="E902" t="s">
        <v>26</v>
      </c>
      <c r="F902">
        <v>0.99119999999999997</v>
      </c>
      <c r="K902">
        <v>1.3304</v>
      </c>
      <c r="P902">
        <v>1.0944</v>
      </c>
      <c r="U902">
        <v>0.8609</v>
      </c>
      <c r="Z902">
        <v>0.27350000000000002</v>
      </c>
      <c r="AE902">
        <v>0.1067</v>
      </c>
      <c r="AJ902">
        <v>0.25719999999999998</v>
      </c>
      <c r="CI902" t="s">
        <v>153</v>
      </c>
    </row>
    <row r="903" spans="1:87" x14ac:dyDescent="0.45">
      <c r="A903" t="s">
        <v>24</v>
      </c>
      <c r="B903" t="s">
        <v>3</v>
      </c>
      <c r="C903" t="s">
        <v>46</v>
      </c>
      <c r="D903" t="s">
        <v>154</v>
      </c>
      <c r="E903" t="s">
        <v>26</v>
      </c>
      <c r="F903">
        <v>0.21329999999999999</v>
      </c>
      <c r="K903">
        <v>0.47349999999999998</v>
      </c>
      <c r="P903">
        <v>0.17810000000000001</v>
      </c>
      <c r="U903">
        <v>0.17929999999999999</v>
      </c>
      <c r="Z903">
        <v>0</v>
      </c>
      <c r="AE903">
        <v>6.0900000000000003E-2</v>
      </c>
      <c r="AJ903">
        <v>0.21759999999999999</v>
      </c>
      <c r="CI903" t="s">
        <v>154</v>
      </c>
    </row>
    <row r="904" spans="1:87" x14ac:dyDescent="0.45">
      <c r="A904" t="s">
        <v>24</v>
      </c>
      <c r="B904" t="s">
        <v>3</v>
      </c>
      <c r="C904" t="s">
        <v>46</v>
      </c>
      <c r="D904" t="s">
        <v>155</v>
      </c>
      <c r="E904" t="s">
        <v>26</v>
      </c>
      <c r="F904">
        <v>0.77790000000000004</v>
      </c>
      <c r="K904">
        <v>0.8569</v>
      </c>
      <c r="P904">
        <v>0.9163</v>
      </c>
      <c r="U904">
        <v>0.68159999999999998</v>
      </c>
      <c r="Z904">
        <v>0.27350000000000002</v>
      </c>
      <c r="AE904">
        <v>4.58E-2</v>
      </c>
      <c r="AJ904">
        <v>3.9600000000000003E-2</v>
      </c>
      <c r="CI904" t="s">
        <v>155</v>
      </c>
    </row>
    <row r="905" spans="1:87" x14ac:dyDescent="0.45">
      <c r="A905" t="s">
        <v>24</v>
      </c>
      <c r="B905" t="s">
        <v>3</v>
      </c>
      <c r="C905" t="s">
        <v>46</v>
      </c>
      <c r="D905" t="s">
        <v>156</v>
      </c>
      <c r="E905" t="s">
        <v>48</v>
      </c>
      <c r="F905">
        <v>65.698499999999996</v>
      </c>
      <c r="K905">
        <v>54.244700000000002</v>
      </c>
      <c r="P905">
        <v>48.997199999999999</v>
      </c>
      <c r="U905">
        <v>45.007100000000001</v>
      </c>
      <c r="Z905">
        <v>41.873699999999999</v>
      </c>
      <c r="AE905">
        <v>38.195599999999999</v>
      </c>
      <c r="AJ905">
        <v>34.794899999999998</v>
      </c>
      <c r="CI905" t="s">
        <v>156</v>
      </c>
    </row>
    <row r="906" spans="1:87" x14ac:dyDescent="0.45">
      <c r="A906" t="s">
        <v>24</v>
      </c>
      <c r="B906" t="s">
        <v>3</v>
      </c>
      <c r="C906" t="s">
        <v>46</v>
      </c>
      <c r="D906" t="s">
        <v>157</v>
      </c>
      <c r="E906" t="s">
        <v>48</v>
      </c>
      <c r="F906">
        <v>90.464799999999997</v>
      </c>
      <c r="K906">
        <v>68.770499999999998</v>
      </c>
      <c r="P906">
        <v>44.521599999999999</v>
      </c>
      <c r="U906">
        <v>31.474</v>
      </c>
      <c r="Z906">
        <v>19.065799999999999</v>
      </c>
      <c r="AE906">
        <v>8.0624000000000002</v>
      </c>
      <c r="CI906" t="s">
        <v>157</v>
      </c>
    </row>
    <row r="907" spans="1:87" x14ac:dyDescent="0.45">
      <c r="A907" t="s">
        <v>24</v>
      </c>
      <c r="B907" t="s">
        <v>3</v>
      </c>
      <c r="C907" t="s">
        <v>46</v>
      </c>
      <c r="D907" t="s">
        <v>158</v>
      </c>
      <c r="E907" t="s">
        <v>48</v>
      </c>
      <c r="F907">
        <v>6.8491</v>
      </c>
      <c r="K907">
        <v>5.7076000000000002</v>
      </c>
      <c r="P907">
        <v>4.5660999999999996</v>
      </c>
      <c r="U907">
        <v>3.4245999999999999</v>
      </c>
      <c r="Z907">
        <v>2.2829999999999999</v>
      </c>
      <c r="AE907">
        <v>1.1415</v>
      </c>
      <c r="CI907" t="s">
        <v>158</v>
      </c>
    </row>
    <row r="908" spans="1:87" x14ac:dyDescent="0.45">
      <c r="A908" t="s">
        <v>24</v>
      </c>
      <c r="B908" t="s">
        <v>3</v>
      </c>
      <c r="C908" t="s">
        <v>46</v>
      </c>
      <c r="D908" t="s">
        <v>159</v>
      </c>
      <c r="E908" t="s">
        <v>48</v>
      </c>
      <c r="F908">
        <v>34.7941</v>
      </c>
      <c r="K908">
        <v>34.7941</v>
      </c>
      <c r="P908">
        <v>34.7941</v>
      </c>
      <c r="U908">
        <v>34.7941</v>
      </c>
      <c r="Z908">
        <v>34.7941</v>
      </c>
      <c r="AE908">
        <v>34.7941</v>
      </c>
      <c r="AJ908">
        <v>34.7941</v>
      </c>
      <c r="CI908" t="s">
        <v>159</v>
      </c>
    </row>
    <row r="909" spans="1:87" x14ac:dyDescent="0.45">
      <c r="A909" t="s">
        <v>24</v>
      </c>
      <c r="B909" t="s">
        <v>3</v>
      </c>
      <c r="C909" t="s">
        <v>46</v>
      </c>
      <c r="D909" t="s">
        <v>160</v>
      </c>
      <c r="E909" t="s">
        <v>66</v>
      </c>
      <c r="F909">
        <v>4.1596000000000002</v>
      </c>
      <c r="K909">
        <v>3.4664000000000001</v>
      </c>
      <c r="P909">
        <v>2.7730999999999999</v>
      </c>
      <c r="U909">
        <v>2.0798000000000001</v>
      </c>
      <c r="Z909">
        <v>1.3865000000000001</v>
      </c>
      <c r="AE909">
        <v>0.69330000000000003</v>
      </c>
      <c r="CI909" t="s">
        <v>160</v>
      </c>
    </row>
    <row r="910" spans="1:87" x14ac:dyDescent="0.45">
      <c r="A910" t="s">
        <v>24</v>
      </c>
      <c r="B910" t="s">
        <v>3</v>
      </c>
      <c r="C910" t="s">
        <v>46</v>
      </c>
      <c r="D910" t="s">
        <v>161</v>
      </c>
      <c r="E910" t="s">
        <v>26</v>
      </c>
      <c r="F910">
        <v>-1.4353</v>
      </c>
      <c r="K910">
        <v>-1.1215999999999999</v>
      </c>
      <c r="P910">
        <v>-0.38379999999999997</v>
      </c>
      <c r="U910">
        <v>2.5000000000000001E-2</v>
      </c>
      <c r="Z910">
        <v>0.18709999999999999</v>
      </c>
      <c r="AE910">
        <v>0.2054</v>
      </c>
      <c r="AJ910">
        <v>0</v>
      </c>
      <c r="CI910" t="s">
        <v>161</v>
      </c>
    </row>
    <row r="911" spans="1:87" x14ac:dyDescent="0.45">
      <c r="A911" t="s">
        <v>24</v>
      </c>
      <c r="B911" t="s">
        <v>3</v>
      </c>
      <c r="C911" t="s">
        <v>46</v>
      </c>
      <c r="D911" t="s">
        <v>162</v>
      </c>
      <c r="E911" t="s">
        <v>26</v>
      </c>
      <c r="F911">
        <v>-0.28920000000000001</v>
      </c>
      <c r="K911">
        <v>-0.23960000000000001</v>
      </c>
      <c r="P911">
        <v>-0.22</v>
      </c>
      <c r="U911">
        <v>-0.14449999999999999</v>
      </c>
      <c r="Z911">
        <v>-9.3399999999999997E-2</v>
      </c>
      <c r="AE911">
        <v>-4.1700000000000001E-2</v>
      </c>
      <c r="CI911" t="s">
        <v>162</v>
      </c>
    </row>
    <row r="912" spans="1:87" x14ac:dyDescent="0.45">
      <c r="A912" t="s">
        <v>24</v>
      </c>
      <c r="B912" t="s">
        <v>3</v>
      </c>
      <c r="C912" t="s">
        <v>46</v>
      </c>
      <c r="D912" t="s">
        <v>163</v>
      </c>
      <c r="E912" t="s">
        <v>26</v>
      </c>
      <c r="F912">
        <v>-0.49259999999999998</v>
      </c>
      <c r="K912">
        <v>-0.21340000000000001</v>
      </c>
      <c r="P912">
        <v>-6.4199999999999993E-2</v>
      </c>
      <c r="U912">
        <v>-2.9499999999999998E-2</v>
      </c>
      <c r="Z912">
        <v>-7.1999999999999998E-3</v>
      </c>
      <c r="AE912">
        <v>-1E-3</v>
      </c>
      <c r="AJ912">
        <v>0</v>
      </c>
      <c r="CI912" t="s">
        <v>163</v>
      </c>
    </row>
    <row r="913" spans="1:87" x14ac:dyDescent="0.45">
      <c r="A913" t="s">
        <v>24</v>
      </c>
      <c r="B913" t="s">
        <v>3</v>
      </c>
      <c r="C913" t="s">
        <v>46</v>
      </c>
      <c r="D913" t="s">
        <v>164</v>
      </c>
      <c r="E913" t="s">
        <v>26</v>
      </c>
      <c r="F913">
        <v>-0.49259999999999998</v>
      </c>
      <c r="K913">
        <v>-0.21340000000000001</v>
      </c>
      <c r="P913">
        <v>-6.4199999999999993E-2</v>
      </c>
      <c r="U913">
        <v>-2.9499999999999998E-2</v>
      </c>
      <c r="Z913">
        <v>-7.1999999999999998E-3</v>
      </c>
      <c r="AE913">
        <v>-1E-3</v>
      </c>
      <c r="CI913" t="s">
        <v>164</v>
      </c>
    </row>
    <row r="914" spans="1:87" x14ac:dyDescent="0.45">
      <c r="A914" t="s">
        <v>24</v>
      </c>
      <c r="B914" t="s">
        <v>3</v>
      </c>
      <c r="C914" t="s">
        <v>46</v>
      </c>
      <c r="D914" t="s">
        <v>165</v>
      </c>
      <c r="E914" t="s">
        <v>26</v>
      </c>
      <c r="F914">
        <v>0.32029999999999997</v>
      </c>
      <c r="K914">
        <v>0.24210000000000001</v>
      </c>
      <c r="P914">
        <v>0.17449999999999999</v>
      </c>
      <c r="U914">
        <v>9.7199999999999995E-2</v>
      </c>
      <c r="Z914">
        <v>6.1699999999999998E-2</v>
      </c>
      <c r="AE914">
        <v>2.58E-2</v>
      </c>
      <c r="AJ914">
        <v>-1E-4</v>
      </c>
      <c r="CI914" t="s">
        <v>165</v>
      </c>
    </row>
    <row r="915" spans="1:87" x14ac:dyDescent="0.45">
      <c r="A915" t="s">
        <v>24</v>
      </c>
      <c r="B915" t="s">
        <v>3</v>
      </c>
      <c r="C915" t="s">
        <v>46</v>
      </c>
      <c r="D915" t="s">
        <v>166</v>
      </c>
      <c r="E915" t="s">
        <v>26</v>
      </c>
      <c r="P915">
        <v>1E-4</v>
      </c>
      <c r="U915">
        <v>0</v>
      </c>
      <c r="Z915">
        <v>1E-4</v>
      </c>
      <c r="AE915">
        <v>0</v>
      </c>
      <c r="AJ915">
        <v>0</v>
      </c>
      <c r="CI915" t="s">
        <v>166</v>
      </c>
    </row>
    <row r="916" spans="1:87" x14ac:dyDescent="0.45">
      <c r="A916" t="s">
        <v>24</v>
      </c>
      <c r="B916" t="s">
        <v>3</v>
      </c>
      <c r="C916" t="s">
        <v>46</v>
      </c>
      <c r="D916" t="s">
        <v>167</v>
      </c>
      <c r="E916" t="s">
        <v>26</v>
      </c>
      <c r="F916">
        <v>0.32029999999999997</v>
      </c>
      <c r="K916">
        <v>0.24210000000000001</v>
      </c>
      <c r="P916">
        <v>0.17599999999999999</v>
      </c>
      <c r="U916">
        <v>0.10059999999999999</v>
      </c>
      <c r="Z916">
        <v>6.6500000000000004E-2</v>
      </c>
      <c r="AE916">
        <v>3.0800000000000001E-2</v>
      </c>
      <c r="AJ916">
        <v>0</v>
      </c>
      <c r="CI916" t="s">
        <v>167</v>
      </c>
    </row>
    <row r="917" spans="1:87" x14ac:dyDescent="0.45">
      <c r="A917" t="s">
        <v>24</v>
      </c>
      <c r="B917" t="s">
        <v>3</v>
      </c>
      <c r="C917" t="s">
        <v>46</v>
      </c>
      <c r="D917" t="s">
        <v>168</v>
      </c>
      <c r="E917" t="s">
        <v>26</v>
      </c>
      <c r="F917">
        <v>-1.0238</v>
      </c>
      <c r="K917">
        <v>-0.83089999999999997</v>
      </c>
      <c r="P917">
        <v>-0.6542</v>
      </c>
      <c r="U917">
        <v>-0.56059999999999999</v>
      </c>
      <c r="Z917">
        <v>-0.37480000000000002</v>
      </c>
      <c r="AE917">
        <v>-0.17419999999999999</v>
      </c>
      <c r="AJ917">
        <v>0</v>
      </c>
      <c r="CI917" t="s">
        <v>168</v>
      </c>
    </row>
    <row r="918" spans="1:87" x14ac:dyDescent="0.45">
      <c r="A918" t="s">
        <v>24</v>
      </c>
      <c r="B918" t="s">
        <v>3</v>
      </c>
      <c r="C918" t="s">
        <v>46</v>
      </c>
      <c r="D918" t="s">
        <v>169</v>
      </c>
      <c r="E918" t="s">
        <v>26</v>
      </c>
      <c r="F918">
        <v>-1.0238</v>
      </c>
      <c r="K918">
        <v>-0.83089999999999997</v>
      </c>
      <c r="P918">
        <v>-0.65410000000000001</v>
      </c>
      <c r="U918">
        <v>-0.56040000000000001</v>
      </c>
      <c r="Z918">
        <v>-0.37459999999999999</v>
      </c>
      <c r="AE918">
        <v>-0.17419999999999999</v>
      </c>
      <c r="CI918" t="s">
        <v>169</v>
      </c>
    </row>
    <row r="919" spans="1:87" x14ac:dyDescent="0.45">
      <c r="A919" t="s">
        <v>24</v>
      </c>
      <c r="B919" t="s">
        <v>3</v>
      </c>
      <c r="C919" t="s">
        <v>46</v>
      </c>
      <c r="D919" t="s">
        <v>170</v>
      </c>
      <c r="E919" t="s">
        <v>26</v>
      </c>
      <c r="F919">
        <v>1.18E-2</v>
      </c>
      <c r="K919">
        <v>1.1599999999999999E-2</v>
      </c>
      <c r="P919">
        <v>1.7600000000000001E-2</v>
      </c>
      <c r="U919">
        <v>1.9699999999999999E-2</v>
      </c>
      <c r="Z919">
        <v>1.78E-2</v>
      </c>
      <c r="AE919">
        <v>1.43E-2</v>
      </c>
      <c r="CI919" t="s">
        <v>170</v>
      </c>
    </row>
    <row r="920" spans="1:87" x14ac:dyDescent="0.45">
      <c r="A920" t="s">
        <v>24</v>
      </c>
      <c r="B920" t="s">
        <v>3</v>
      </c>
      <c r="C920" t="s">
        <v>46</v>
      </c>
      <c r="D920" t="s">
        <v>171</v>
      </c>
      <c r="E920" t="s">
        <v>26</v>
      </c>
      <c r="F920">
        <v>-0.1459</v>
      </c>
      <c r="K920">
        <v>-0.1207</v>
      </c>
      <c r="P920">
        <v>-0.1258</v>
      </c>
      <c r="U920">
        <v>-9.7000000000000003E-2</v>
      </c>
      <c r="Z920">
        <v>-6.6400000000000001E-2</v>
      </c>
      <c r="AE920">
        <v>-3.3799999999999997E-2</v>
      </c>
      <c r="CI920" t="s">
        <v>171</v>
      </c>
    </row>
    <row r="921" spans="1:87" x14ac:dyDescent="0.45">
      <c r="A921" t="s">
        <v>24</v>
      </c>
      <c r="B921" t="s">
        <v>3</v>
      </c>
      <c r="C921" t="s">
        <v>46</v>
      </c>
      <c r="D921" t="s">
        <v>172</v>
      </c>
      <c r="E921" t="s">
        <v>26</v>
      </c>
      <c r="F921">
        <v>-4.2999999999999997E-2</v>
      </c>
      <c r="K921">
        <v>-3.6499999999999998E-2</v>
      </c>
      <c r="P921">
        <v>-3.1600000000000003E-2</v>
      </c>
      <c r="U921">
        <v>-2.1399999999999999E-2</v>
      </c>
      <c r="Z921">
        <v>-1.52E-2</v>
      </c>
      <c r="AE921">
        <v>-8.0000000000000002E-3</v>
      </c>
      <c r="CI921" t="s">
        <v>172</v>
      </c>
    </row>
    <row r="922" spans="1:87" x14ac:dyDescent="0.45">
      <c r="A922" t="s">
        <v>24</v>
      </c>
      <c r="B922" t="s">
        <v>3</v>
      </c>
      <c r="C922" t="s">
        <v>46</v>
      </c>
      <c r="D922" t="s">
        <v>173</v>
      </c>
      <c r="E922" t="s">
        <v>26</v>
      </c>
      <c r="F922">
        <v>0.51849999999999996</v>
      </c>
      <c r="K922">
        <v>0.4526</v>
      </c>
      <c r="P922">
        <v>0.3196</v>
      </c>
      <c r="U922">
        <v>0.2084</v>
      </c>
      <c r="Z922">
        <v>0.1225</v>
      </c>
      <c r="AE922">
        <v>5.1200000000000002E-2</v>
      </c>
      <c r="CI922" t="s">
        <v>173</v>
      </c>
    </row>
    <row r="923" spans="1:87" x14ac:dyDescent="0.45">
      <c r="A923" t="s">
        <v>24</v>
      </c>
      <c r="B923" t="s">
        <v>3</v>
      </c>
      <c r="C923" t="s">
        <v>46</v>
      </c>
      <c r="D923" t="s">
        <v>174</v>
      </c>
      <c r="E923" t="s">
        <v>26</v>
      </c>
      <c r="F923">
        <v>0.51849999999999996</v>
      </c>
      <c r="K923">
        <v>0.4526</v>
      </c>
      <c r="P923">
        <v>0.3196</v>
      </c>
      <c r="U923">
        <v>0.2084</v>
      </c>
      <c r="Z923">
        <v>0.1225</v>
      </c>
      <c r="AE923">
        <v>5.1200000000000002E-2</v>
      </c>
      <c r="CI923" t="s">
        <v>174</v>
      </c>
    </row>
    <row r="924" spans="1:87" x14ac:dyDescent="0.45">
      <c r="A924" t="s">
        <v>24</v>
      </c>
      <c r="B924" t="s">
        <v>3</v>
      </c>
      <c r="C924" t="s">
        <v>46</v>
      </c>
      <c r="D924" t="s">
        <v>175</v>
      </c>
      <c r="E924" t="s">
        <v>26</v>
      </c>
      <c r="F924">
        <v>0.38250000000000001</v>
      </c>
      <c r="K924">
        <v>0.51049999999999995</v>
      </c>
      <c r="P924">
        <v>0.90210000000000001</v>
      </c>
      <c r="U924">
        <v>1.0448</v>
      </c>
      <c r="Z924">
        <v>0.87529999999999997</v>
      </c>
      <c r="AE924">
        <v>0.5595</v>
      </c>
      <c r="CI924" t="s">
        <v>175</v>
      </c>
    </row>
    <row r="925" spans="1:87" x14ac:dyDescent="0.45">
      <c r="A925" t="s">
        <v>24</v>
      </c>
      <c r="B925" t="s">
        <v>3</v>
      </c>
      <c r="C925" t="s">
        <v>46</v>
      </c>
      <c r="D925" t="s">
        <v>176</v>
      </c>
      <c r="E925" t="s">
        <v>26</v>
      </c>
      <c r="F925">
        <v>-0.35370000000000001</v>
      </c>
      <c r="K925">
        <v>-0.65529999999999999</v>
      </c>
      <c r="P925">
        <v>-0.5272</v>
      </c>
      <c r="U925">
        <v>-0.39500000000000002</v>
      </c>
      <c r="Z925">
        <v>-0.27150000000000002</v>
      </c>
      <c r="AE925">
        <v>-0.16089999999999999</v>
      </c>
      <c r="CI925" t="s">
        <v>176</v>
      </c>
    </row>
    <row r="926" spans="1:87" x14ac:dyDescent="0.45">
      <c r="A926" t="s">
        <v>24</v>
      </c>
      <c r="B926" t="s">
        <v>3</v>
      </c>
      <c r="C926" t="s">
        <v>46</v>
      </c>
      <c r="D926" t="s">
        <v>177</v>
      </c>
      <c r="E926" t="s">
        <v>26</v>
      </c>
      <c r="F926">
        <v>-1.464</v>
      </c>
      <c r="K926">
        <v>-1.6884999999999999</v>
      </c>
      <c r="P926">
        <v>-1.9639</v>
      </c>
      <c r="U926">
        <v>-1.6371</v>
      </c>
      <c r="Z926">
        <v>-1.1352</v>
      </c>
      <c r="AE926">
        <v>-0.66959999999999997</v>
      </c>
      <c r="AJ926">
        <v>0</v>
      </c>
      <c r="CI926" t="s">
        <v>177</v>
      </c>
    </row>
    <row r="927" spans="1:87" x14ac:dyDescent="0.45">
      <c r="A927" t="s">
        <v>24</v>
      </c>
      <c r="B927" t="s">
        <v>3</v>
      </c>
      <c r="C927" t="s">
        <v>46</v>
      </c>
      <c r="D927" t="s">
        <v>178</v>
      </c>
      <c r="E927" t="s">
        <v>26</v>
      </c>
      <c r="F927">
        <v>-0.34339999999999998</v>
      </c>
      <c r="K927">
        <v>-0.3024</v>
      </c>
      <c r="P927">
        <v>-0.1522</v>
      </c>
      <c r="U927">
        <v>-9.1700000000000004E-2</v>
      </c>
      <c r="Z927">
        <v>-5.2600000000000001E-2</v>
      </c>
      <c r="AE927">
        <v>-8.8999999999999999E-3</v>
      </c>
      <c r="CI927" t="s">
        <v>178</v>
      </c>
    </row>
    <row r="928" spans="1:87" x14ac:dyDescent="0.45">
      <c r="A928" t="s">
        <v>24</v>
      </c>
      <c r="B928" t="s">
        <v>3</v>
      </c>
      <c r="C928" t="s">
        <v>46</v>
      </c>
      <c r="D928" t="s">
        <v>179</v>
      </c>
      <c r="E928" t="s">
        <v>26</v>
      </c>
      <c r="F928">
        <v>0.15079999999999999</v>
      </c>
      <c r="K928">
        <v>6.4699999999999994E-2</v>
      </c>
      <c r="P928">
        <v>1.5599999999999999E-2</v>
      </c>
      <c r="U928">
        <v>6.1000000000000004E-3</v>
      </c>
      <c r="Z928">
        <v>1.6999999999999999E-3</v>
      </c>
      <c r="AE928">
        <v>2.9999999999999997E-4</v>
      </c>
      <c r="CI928" t="s">
        <v>179</v>
      </c>
    </row>
    <row r="929" spans="1:87" x14ac:dyDescent="0.45">
      <c r="A929" t="s">
        <v>24</v>
      </c>
      <c r="B929" t="s">
        <v>3</v>
      </c>
      <c r="C929" t="s">
        <v>46</v>
      </c>
      <c r="D929" t="s">
        <v>180</v>
      </c>
      <c r="E929" t="s">
        <v>26</v>
      </c>
      <c r="F929">
        <v>-0.30030000000000001</v>
      </c>
      <c r="K929">
        <v>-0.3538</v>
      </c>
      <c r="P929">
        <v>-0.3085</v>
      </c>
      <c r="U929">
        <v>-0.27279999999999999</v>
      </c>
      <c r="Z929">
        <v>-0.19950000000000001</v>
      </c>
      <c r="AE929">
        <v>-9.9000000000000005E-2</v>
      </c>
      <c r="CI929" t="s">
        <v>180</v>
      </c>
    </row>
    <row r="930" spans="1:87" x14ac:dyDescent="0.45">
      <c r="A930" t="s">
        <v>24</v>
      </c>
      <c r="B930" t="s">
        <v>3</v>
      </c>
      <c r="C930" t="s">
        <v>46</v>
      </c>
      <c r="D930" t="s">
        <v>181</v>
      </c>
      <c r="E930" t="s">
        <v>26</v>
      </c>
      <c r="F930">
        <v>1.7500000000000002E-2</v>
      </c>
      <c r="K930">
        <v>1.95E-2</v>
      </c>
      <c r="P930">
        <v>3.1800000000000002E-2</v>
      </c>
      <c r="U930">
        <v>3.8300000000000001E-2</v>
      </c>
      <c r="Z930">
        <v>3.6900000000000002E-2</v>
      </c>
      <c r="AE930">
        <v>3.0599999999999999E-2</v>
      </c>
      <c r="CI930" t="s">
        <v>181</v>
      </c>
    </row>
    <row r="931" spans="1:87" x14ac:dyDescent="0.45">
      <c r="A931" t="s">
        <v>24</v>
      </c>
      <c r="B931" t="s">
        <v>3</v>
      </c>
      <c r="C931" t="s">
        <v>46</v>
      </c>
      <c r="D931" t="s">
        <v>182</v>
      </c>
      <c r="E931" t="s">
        <v>26</v>
      </c>
      <c r="F931">
        <v>-0.1459</v>
      </c>
      <c r="K931">
        <v>-0.1207</v>
      </c>
      <c r="P931">
        <v>-0.1258</v>
      </c>
      <c r="U931">
        <v>-9.7000000000000003E-2</v>
      </c>
      <c r="Z931">
        <v>-6.6400000000000001E-2</v>
      </c>
      <c r="AE931">
        <v>-3.3799999999999997E-2</v>
      </c>
      <c r="CI931" t="s">
        <v>182</v>
      </c>
    </row>
    <row r="932" spans="1:87" x14ac:dyDescent="0.45">
      <c r="A932" t="s">
        <v>24</v>
      </c>
      <c r="B932" t="s">
        <v>3</v>
      </c>
      <c r="C932" t="s">
        <v>46</v>
      </c>
      <c r="D932" t="s">
        <v>183</v>
      </c>
      <c r="E932" t="s">
        <v>26</v>
      </c>
      <c r="F932">
        <v>-4.65E-2</v>
      </c>
      <c r="K932">
        <v>-3.9399999999999998E-2</v>
      </c>
      <c r="P932">
        <v>-3.4099999999999998E-2</v>
      </c>
      <c r="U932">
        <v>-2.3E-2</v>
      </c>
      <c r="Z932">
        <v>-1.6299999999999999E-2</v>
      </c>
      <c r="AE932">
        <v>-8.6E-3</v>
      </c>
      <c r="CI932" t="s">
        <v>183</v>
      </c>
    </row>
    <row r="933" spans="1:87" x14ac:dyDescent="0.45">
      <c r="A933" t="s">
        <v>24</v>
      </c>
      <c r="B933" t="s">
        <v>3</v>
      </c>
      <c r="C933" t="s">
        <v>46</v>
      </c>
      <c r="D933" t="s">
        <v>184</v>
      </c>
      <c r="E933" t="s">
        <v>26</v>
      </c>
      <c r="F933">
        <v>-5.62E-2</v>
      </c>
      <c r="K933">
        <v>-4.1500000000000002E-2</v>
      </c>
      <c r="P933">
        <v>-1.7600000000000001E-2</v>
      </c>
      <c r="U933">
        <v>-6.9999999999999999E-4</v>
      </c>
      <c r="CI933" t="s">
        <v>184</v>
      </c>
    </row>
    <row r="934" spans="1:87" x14ac:dyDescent="0.45">
      <c r="A934" t="s">
        <v>24</v>
      </c>
      <c r="B934" t="s">
        <v>3</v>
      </c>
      <c r="C934" t="s">
        <v>46</v>
      </c>
      <c r="D934" t="s">
        <v>185</v>
      </c>
      <c r="E934" t="s">
        <v>26</v>
      </c>
      <c r="F934">
        <v>-0.34810000000000002</v>
      </c>
      <c r="K934">
        <v>-0.25750000000000001</v>
      </c>
      <c r="P934">
        <v>-0.879</v>
      </c>
      <c r="U934">
        <v>-0.82130000000000003</v>
      </c>
      <c r="Z934">
        <v>-0.57430000000000003</v>
      </c>
      <c r="AE934">
        <v>-0.38950000000000001</v>
      </c>
      <c r="CI934" t="s">
        <v>185</v>
      </c>
    </row>
    <row r="935" spans="1:87" x14ac:dyDescent="0.45">
      <c r="A935" t="s">
        <v>24</v>
      </c>
      <c r="B935" t="s">
        <v>3</v>
      </c>
      <c r="C935" t="s">
        <v>46</v>
      </c>
      <c r="D935" t="s">
        <v>186</v>
      </c>
      <c r="E935" t="s">
        <v>26</v>
      </c>
      <c r="F935">
        <v>-0.35370000000000001</v>
      </c>
      <c r="K935">
        <v>-0.65529999999999999</v>
      </c>
      <c r="P935">
        <v>-0.5272</v>
      </c>
      <c r="U935">
        <v>-0.39500000000000002</v>
      </c>
      <c r="Z935">
        <v>-0.27150000000000002</v>
      </c>
      <c r="AE935">
        <v>-0.16089999999999999</v>
      </c>
      <c r="CI935" t="s">
        <v>186</v>
      </c>
    </row>
    <row r="936" spans="1:87" x14ac:dyDescent="0.45">
      <c r="A936" t="s">
        <v>24</v>
      </c>
      <c r="B936" t="s">
        <v>3</v>
      </c>
      <c r="C936" t="s">
        <v>46</v>
      </c>
      <c r="D936" t="s">
        <v>187</v>
      </c>
      <c r="E936" t="s">
        <v>26</v>
      </c>
      <c r="F936">
        <v>0</v>
      </c>
      <c r="K936">
        <v>0</v>
      </c>
      <c r="P936">
        <v>-0.81289999999999996</v>
      </c>
      <c r="U936">
        <v>-0.37140000000000001</v>
      </c>
      <c r="Z936">
        <v>-0.55279999999999996</v>
      </c>
      <c r="AE936">
        <v>-0.27450000000000002</v>
      </c>
      <c r="AJ936">
        <v>0</v>
      </c>
      <c r="CI936" t="s">
        <v>187</v>
      </c>
    </row>
    <row r="937" spans="1:87" x14ac:dyDescent="0.45">
      <c r="A937" t="s">
        <v>24</v>
      </c>
      <c r="B937" t="s">
        <v>3</v>
      </c>
      <c r="C937" t="s">
        <v>46</v>
      </c>
      <c r="D937" t="s">
        <v>188</v>
      </c>
      <c r="E937" t="s">
        <v>26</v>
      </c>
      <c r="F937">
        <v>0</v>
      </c>
      <c r="K937">
        <v>0</v>
      </c>
      <c r="P937">
        <v>0.29970000000000002</v>
      </c>
      <c r="U937">
        <v>0.68959999999999999</v>
      </c>
      <c r="Z937">
        <v>0.93920000000000003</v>
      </c>
      <c r="AE937">
        <v>0.95140000000000002</v>
      </c>
      <c r="AJ937">
        <v>0.63439999999999996</v>
      </c>
      <c r="CI937" t="s">
        <v>188</v>
      </c>
    </row>
    <row r="938" spans="1:87" x14ac:dyDescent="0.45">
      <c r="A938" t="s">
        <v>24</v>
      </c>
      <c r="B938" t="s">
        <v>3</v>
      </c>
      <c r="C938" t="s">
        <v>46</v>
      </c>
      <c r="D938" t="s">
        <v>189</v>
      </c>
      <c r="E938" t="s">
        <v>26</v>
      </c>
      <c r="F938">
        <v>-0.32619999999999999</v>
      </c>
      <c r="K938">
        <v>-0.52669999999999995</v>
      </c>
      <c r="P938">
        <v>-0.33110000000000001</v>
      </c>
      <c r="U938">
        <v>0</v>
      </c>
      <c r="Z938">
        <v>0</v>
      </c>
      <c r="AE938">
        <v>0</v>
      </c>
      <c r="AJ938">
        <v>0</v>
      </c>
      <c r="CI938" t="s">
        <v>189</v>
      </c>
    </row>
    <row r="939" spans="1:87" x14ac:dyDescent="0.45">
      <c r="A939" t="s">
        <v>24</v>
      </c>
      <c r="B939" t="s">
        <v>3</v>
      </c>
      <c r="C939" t="s">
        <v>46</v>
      </c>
      <c r="D939" t="s">
        <v>190</v>
      </c>
      <c r="E939" t="s">
        <v>26</v>
      </c>
      <c r="F939">
        <v>-8.4725999999999999</v>
      </c>
      <c r="K939">
        <v>-6.5705</v>
      </c>
      <c r="P939">
        <v>-5.4813999999999998</v>
      </c>
      <c r="U939">
        <v>-5.8784999999999998</v>
      </c>
      <c r="Z939">
        <v>-6.2488999999999999</v>
      </c>
      <c r="AE939">
        <v>-6.5350999999999999</v>
      </c>
      <c r="AJ939">
        <v>-5.1855000000000002</v>
      </c>
      <c r="CI939" t="s">
        <v>190</v>
      </c>
    </row>
    <row r="940" spans="1:87" x14ac:dyDescent="0.45">
      <c r="A940" t="s">
        <v>24</v>
      </c>
      <c r="B940" t="s">
        <v>3</v>
      </c>
      <c r="C940" t="s">
        <v>46</v>
      </c>
      <c r="D940" t="s">
        <v>191</v>
      </c>
      <c r="E940" t="s">
        <v>26</v>
      </c>
      <c r="F940">
        <v>68.188800072493109</v>
      </c>
      <c r="K940">
        <v>68.548934887082027</v>
      </c>
      <c r="P940">
        <v>67.564714885513396</v>
      </c>
      <c r="U940">
        <v>67.234240102366797</v>
      </c>
      <c r="Z940">
        <v>65.470515177335415</v>
      </c>
      <c r="AE940">
        <v>64.145670018683177</v>
      </c>
      <c r="AJ940">
        <v>62.873015000218132</v>
      </c>
      <c r="CI940" t="s">
        <v>191</v>
      </c>
    </row>
    <row r="941" spans="1:87" x14ac:dyDescent="0.45">
      <c r="A941" t="s">
        <v>24</v>
      </c>
      <c r="B941" t="s">
        <v>3</v>
      </c>
      <c r="C941" t="s">
        <v>46</v>
      </c>
      <c r="D941" t="s">
        <v>192</v>
      </c>
      <c r="E941" t="s">
        <v>26</v>
      </c>
      <c r="F941">
        <v>14.844345090326851</v>
      </c>
      <c r="K941">
        <v>13.632110228659741</v>
      </c>
      <c r="P941">
        <v>15.929705331295439</v>
      </c>
      <c r="U941">
        <v>17.002215113439728</v>
      </c>
      <c r="Z941">
        <v>16.146355066983581</v>
      </c>
      <c r="AE941">
        <v>15.375084984233631</v>
      </c>
      <c r="AJ941">
        <v>14.49962000015285</v>
      </c>
      <c r="CI941" t="s">
        <v>192</v>
      </c>
    </row>
    <row r="942" spans="1:87" x14ac:dyDescent="0.45">
      <c r="A942" t="s">
        <v>24</v>
      </c>
      <c r="B942" t="s">
        <v>3</v>
      </c>
      <c r="C942" t="s">
        <v>46</v>
      </c>
      <c r="D942" t="s">
        <v>193</v>
      </c>
      <c r="E942" t="s">
        <v>26</v>
      </c>
      <c r="F942">
        <v>2.4440400359092109</v>
      </c>
      <c r="K942">
        <v>2.490840007570247</v>
      </c>
      <c r="P942">
        <v>2.6118000066916842</v>
      </c>
      <c r="U942">
        <v>2.697239999462774</v>
      </c>
      <c r="Z942">
        <v>2.7681599988484682</v>
      </c>
      <c r="AE942">
        <v>2.827799993644657</v>
      </c>
      <c r="AJ942">
        <v>3.0603599999626012</v>
      </c>
      <c r="CI942" t="s">
        <v>193</v>
      </c>
    </row>
    <row r="943" spans="1:87" x14ac:dyDescent="0.45">
      <c r="A943" t="s">
        <v>24</v>
      </c>
      <c r="B943" t="s">
        <v>3</v>
      </c>
      <c r="C943" t="s">
        <v>46</v>
      </c>
      <c r="D943" t="s">
        <v>194</v>
      </c>
      <c r="E943" t="s">
        <v>26</v>
      </c>
      <c r="F943">
        <v>6.6413549462613446</v>
      </c>
      <c r="K943">
        <v>4.6128600342531456</v>
      </c>
      <c r="P943">
        <v>4.3013246839252588</v>
      </c>
      <c r="U943">
        <v>5.1757651022535072</v>
      </c>
      <c r="Z943">
        <v>4.6121250626642896</v>
      </c>
      <c r="AE943">
        <v>4.7801250056096123</v>
      </c>
      <c r="AJ943">
        <v>4.6334400000423832</v>
      </c>
      <c r="CI943" t="s">
        <v>194</v>
      </c>
    </row>
    <row r="944" spans="1:87" x14ac:dyDescent="0.45">
      <c r="A944" t="s">
        <v>24</v>
      </c>
      <c r="B944" t="s">
        <v>3</v>
      </c>
      <c r="C944" t="s">
        <v>46</v>
      </c>
      <c r="D944" t="s">
        <v>195</v>
      </c>
      <c r="E944" t="s">
        <v>26</v>
      </c>
      <c r="F944">
        <v>2.1677578843082301E-8</v>
      </c>
      <c r="K944">
        <v>0.1125300068002799</v>
      </c>
      <c r="P944">
        <v>0.31173996976306739</v>
      </c>
      <c r="U944">
        <v>0.64558999809231121</v>
      </c>
      <c r="Z944">
        <v>1.0590799864189651</v>
      </c>
      <c r="AE944">
        <v>0.92378000066874755</v>
      </c>
      <c r="AJ944">
        <v>0.70411000006577251</v>
      </c>
      <c r="CI944" t="s">
        <v>195</v>
      </c>
    </row>
    <row r="945" spans="1:87" x14ac:dyDescent="0.45">
      <c r="A945" t="s">
        <v>24</v>
      </c>
      <c r="B945" t="s">
        <v>3</v>
      </c>
      <c r="C945" t="s">
        <v>46</v>
      </c>
      <c r="D945" t="s">
        <v>196</v>
      </c>
      <c r="E945" t="s">
        <v>26</v>
      </c>
      <c r="F945">
        <v>1.658193582443345E-9</v>
      </c>
      <c r="K945">
        <v>8.2939998597873293E-2</v>
      </c>
      <c r="P945">
        <v>8.1839983435994398E-2</v>
      </c>
      <c r="U945">
        <v>0.16115000118540479</v>
      </c>
      <c r="Z945">
        <v>0.1619199997215616</v>
      </c>
      <c r="AE945">
        <v>0.15773999997511681</v>
      </c>
      <c r="AJ945">
        <v>0.15422000000063041</v>
      </c>
      <c r="CI945" t="s">
        <v>196</v>
      </c>
    </row>
    <row r="946" spans="1:87" x14ac:dyDescent="0.45">
      <c r="A946" t="s">
        <v>24</v>
      </c>
      <c r="B946" t="s">
        <v>3</v>
      </c>
      <c r="C946" t="s">
        <v>46</v>
      </c>
      <c r="D946" t="s">
        <v>197</v>
      </c>
      <c r="E946" t="s">
        <v>26</v>
      </c>
      <c r="F946">
        <v>4.8432000417117251</v>
      </c>
      <c r="K946">
        <v>5.1687002177678494</v>
      </c>
      <c r="P946">
        <v>7.661800686670972</v>
      </c>
      <c r="U946">
        <v>7.5688999944165474</v>
      </c>
      <c r="Z946">
        <v>7.3134999784128922</v>
      </c>
      <c r="AE946">
        <v>6.6022999992089986</v>
      </c>
      <c r="AJ946">
        <v>5.7260000001202336</v>
      </c>
      <c r="CI946" t="s">
        <v>197</v>
      </c>
    </row>
    <row r="947" spans="1:87" x14ac:dyDescent="0.45">
      <c r="A947" t="s">
        <v>24</v>
      </c>
      <c r="B947" t="s">
        <v>3</v>
      </c>
      <c r="C947" t="s">
        <v>46</v>
      </c>
      <c r="D947" t="s">
        <v>198</v>
      </c>
      <c r="E947" t="s">
        <v>26</v>
      </c>
      <c r="F947">
        <v>0.91575004310880104</v>
      </c>
      <c r="K947">
        <v>1.16423996367034</v>
      </c>
      <c r="P947">
        <v>0.96120000080846424</v>
      </c>
      <c r="U947">
        <v>0.75357001802918688</v>
      </c>
      <c r="Z947">
        <v>0.2315700409174041</v>
      </c>
      <c r="AE947">
        <v>8.3339985126499899E-2</v>
      </c>
      <c r="AJ947">
        <v>0.22148999996122801</v>
      </c>
      <c r="CI947" t="s">
        <v>198</v>
      </c>
    </row>
    <row r="948" spans="1:87" x14ac:dyDescent="0.45">
      <c r="A948" t="s">
        <v>24</v>
      </c>
      <c r="B948" t="s">
        <v>3</v>
      </c>
      <c r="C948" t="s">
        <v>46</v>
      </c>
      <c r="D948" t="s">
        <v>199</v>
      </c>
      <c r="E948" t="s">
        <v>26</v>
      </c>
      <c r="F948">
        <v>27.894454992193811</v>
      </c>
      <c r="K948">
        <v>28.79952490738258</v>
      </c>
      <c r="P948">
        <v>29.05841026316665</v>
      </c>
      <c r="U948">
        <v>27.994325013382159</v>
      </c>
      <c r="Z948">
        <v>27.381260177361579</v>
      </c>
      <c r="AE948">
        <v>27.747185005329019</v>
      </c>
      <c r="AJ948">
        <v>28.18759499977654</v>
      </c>
      <c r="CI948" t="s">
        <v>199</v>
      </c>
    </row>
    <row r="949" spans="1:87" x14ac:dyDescent="0.45">
      <c r="A949" t="s">
        <v>24</v>
      </c>
      <c r="B949" t="s">
        <v>3</v>
      </c>
      <c r="C949" t="s">
        <v>46</v>
      </c>
      <c r="D949" t="s">
        <v>200</v>
      </c>
      <c r="E949" t="s">
        <v>26</v>
      </c>
      <c r="F949">
        <v>17.685750000566841</v>
      </c>
      <c r="K949">
        <v>19.616099805136091</v>
      </c>
      <c r="P949">
        <v>19.795499955665768</v>
      </c>
      <c r="U949">
        <v>20.18745000066788</v>
      </c>
      <c r="Z949">
        <v>21.120299995859121</v>
      </c>
      <c r="AE949">
        <v>21.964500000202641</v>
      </c>
      <c r="AJ949">
        <v>22.85894999979028</v>
      </c>
      <c r="CI949" t="s">
        <v>200</v>
      </c>
    </row>
    <row r="950" spans="1:87" x14ac:dyDescent="0.45">
      <c r="A950" t="s">
        <v>24</v>
      </c>
      <c r="B950" t="s">
        <v>3</v>
      </c>
      <c r="C950" t="s">
        <v>46</v>
      </c>
      <c r="D950" t="s">
        <v>201</v>
      </c>
      <c r="E950" t="s">
        <v>26</v>
      </c>
      <c r="F950">
        <v>6.7516049990634421</v>
      </c>
      <c r="K950">
        <v>5.7177750403521941</v>
      </c>
      <c r="P950">
        <v>5.1410098423368424</v>
      </c>
      <c r="U950">
        <v>5.2057950055789259</v>
      </c>
      <c r="Z950">
        <v>5.1483599806442726</v>
      </c>
      <c r="AE950">
        <v>4.2916650083751096</v>
      </c>
      <c r="AJ950">
        <v>3.287235000088677</v>
      </c>
      <c r="CI950" t="s">
        <v>201</v>
      </c>
    </row>
    <row r="951" spans="1:87" x14ac:dyDescent="0.45">
      <c r="A951" t="s">
        <v>24</v>
      </c>
      <c r="B951" t="s">
        <v>3</v>
      </c>
      <c r="C951" t="s">
        <v>46</v>
      </c>
      <c r="D951" t="s">
        <v>202</v>
      </c>
      <c r="E951" t="s">
        <v>26</v>
      </c>
      <c r="F951">
        <v>0.40039999238283031</v>
      </c>
      <c r="K951">
        <v>0.3217500139008429</v>
      </c>
      <c r="P951">
        <v>0.37730003854611027</v>
      </c>
      <c r="U951">
        <v>0.27478000201210401</v>
      </c>
      <c r="Z951">
        <v>2.7856458473252129E-8</v>
      </c>
      <c r="AE951">
        <v>0.39621999685908271</v>
      </c>
      <c r="AJ951">
        <v>0.96590999989552195</v>
      </c>
      <c r="CI951" t="s">
        <v>202</v>
      </c>
    </row>
    <row r="952" spans="1:87" x14ac:dyDescent="0.45">
      <c r="A952" t="s">
        <v>24</v>
      </c>
      <c r="B952" t="s">
        <v>3</v>
      </c>
      <c r="C952" t="s">
        <v>46</v>
      </c>
      <c r="D952" t="s">
        <v>203</v>
      </c>
      <c r="E952" t="s">
        <v>26</v>
      </c>
      <c r="F952">
        <v>3.0566999993327499</v>
      </c>
      <c r="K952">
        <v>3.1439000479934549</v>
      </c>
      <c r="P952">
        <v>3.744600426617922</v>
      </c>
      <c r="U952">
        <v>2.326300005123255</v>
      </c>
      <c r="Z952">
        <v>1.1126001730017381</v>
      </c>
      <c r="AE952">
        <v>1.09479999989219</v>
      </c>
      <c r="AJ952">
        <v>1.07550000000206</v>
      </c>
      <c r="CI952" t="s">
        <v>203</v>
      </c>
    </row>
    <row r="953" spans="1:87" x14ac:dyDescent="0.45">
      <c r="A953" t="s">
        <v>24</v>
      </c>
      <c r="B953" t="s">
        <v>3</v>
      </c>
      <c r="C953" t="s">
        <v>46</v>
      </c>
      <c r="D953" t="s">
        <v>204</v>
      </c>
      <c r="E953" t="s">
        <v>26</v>
      </c>
      <c r="F953">
        <v>8.4795104271506716E-10</v>
      </c>
      <c r="K953">
        <v>0</v>
      </c>
      <c r="P953">
        <v>0</v>
      </c>
      <c r="U953">
        <v>0</v>
      </c>
      <c r="Z953">
        <v>0</v>
      </c>
      <c r="AE953">
        <v>0</v>
      </c>
      <c r="AJ953">
        <v>0</v>
      </c>
      <c r="CI953" t="s">
        <v>204</v>
      </c>
    </row>
    <row r="954" spans="1:87" x14ac:dyDescent="0.45">
      <c r="A954" t="s">
        <v>24</v>
      </c>
      <c r="B954" t="s">
        <v>3</v>
      </c>
      <c r="C954" t="s">
        <v>46</v>
      </c>
      <c r="D954" t="s">
        <v>205</v>
      </c>
      <c r="E954" t="s">
        <v>26</v>
      </c>
      <c r="F954">
        <v>25.44999998997244</v>
      </c>
      <c r="K954">
        <v>26.11729975103971</v>
      </c>
      <c r="P954">
        <v>22.576599291051309</v>
      </c>
      <c r="U954">
        <v>22.237699975544899</v>
      </c>
      <c r="Z954">
        <v>21.942899932990251</v>
      </c>
      <c r="AE954">
        <v>21.02340002912052</v>
      </c>
      <c r="AJ954">
        <v>20.18580000028874</v>
      </c>
      <c r="CI954" t="s">
        <v>205</v>
      </c>
    </row>
    <row r="955" spans="1:87" x14ac:dyDescent="0.45">
      <c r="A955" t="s">
        <v>24</v>
      </c>
      <c r="B955" t="s">
        <v>3</v>
      </c>
      <c r="C955" t="s">
        <v>46</v>
      </c>
      <c r="D955" t="s">
        <v>206</v>
      </c>
      <c r="E955" t="s">
        <v>26</v>
      </c>
      <c r="F955">
        <v>9.3199998103578693E-2</v>
      </c>
      <c r="K955">
        <v>8.4800026972075601E-2</v>
      </c>
      <c r="P955">
        <v>0.63239990373250521</v>
      </c>
      <c r="U955">
        <v>1.5931999775527359</v>
      </c>
      <c r="Z955">
        <v>3.2630000659810321</v>
      </c>
      <c r="AE955">
        <v>6.1236000188679194</v>
      </c>
      <c r="AJ955">
        <v>9.5569999993976236</v>
      </c>
      <c r="CI955" t="s">
        <v>206</v>
      </c>
    </row>
    <row r="956" spans="1:87" x14ac:dyDescent="0.45">
      <c r="A956" t="s">
        <v>24</v>
      </c>
      <c r="B956" t="s">
        <v>3</v>
      </c>
      <c r="C956" t="s">
        <v>46</v>
      </c>
      <c r="D956" t="s">
        <v>207</v>
      </c>
      <c r="E956" t="s">
        <v>26</v>
      </c>
      <c r="F956">
        <v>7.7437789514078759E-9</v>
      </c>
      <c r="K956">
        <v>0</v>
      </c>
      <c r="P956">
        <v>0</v>
      </c>
      <c r="U956">
        <v>0</v>
      </c>
      <c r="Z956">
        <v>0</v>
      </c>
      <c r="AE956">
        <v>0</v>
      </c>
      <c r="AJ956">
        <v>0</v>
      </c>
      <c r="CI956" t="s">
        <v>207</v>
      </c>
    </row>
    <row r="957" spans="1:87" x14ac:dyDescent="0.45">
      <c r="A957" t="s">
        <v>24</v>
      </c>
      <c r="B957" t="s">
        <v>3</v>
      </c>
      <c r="C957" t="s">
        <v>46</v>
      </c>
      <c r="D957" t="s">
        <v>208</v>
      </c>
      <c r="E957" t="s">
        <v>26</v>
      </c>
      <c r="F957">
        <v>25.356799984125079</v>
      </c>
      <c r="K957">
        <v>26.032499724067641</v>
      </c>
      <c r="P957">
        <v>21.9441993873188</v>
      </c>
      <c r="U957">
        <v>20.64449999799217</v>
      </c>
      <c r="Z957">
        <v>18.679899867009219</v>
      </c>
      <c r="AE957">
        <v>14.8998000102526</v>
      </c>
      <c r="AJ957">
        <v>10.628800000891109</v>
      </c>
      <c r="CI957" t="s">
        <v>208</v>
      </c>
    </row>
    <row r="958" spans="1:87" x14ac:dyDescent="0.45">
      <c r="A958" t="s">
        <v>24</v>
      </c>
      <c r="B958" t="s">
        <v>5</v>
      </c>
      <c r="C958" t="s">
        <v>46</v>
      </c>
      <c r="D958" t="s">
        <v>59</v>
      </c>
      <c r="E958" t="s">
        <v>48</v>
      </c>
      <c r="F958">
        <v>0</v>
      </c>
      <c r="K958">
        <v>0</v>
      </c>
      <c r="P958">
        <v>3.9094000000000002</v>
      </c>
      <c r="U958">
        <v>10.2773</v>
      </c>
      <c r="Z958">
        <v>21.242999999999999</v>
      </c>
      <c r="AE958">
        <v>40.4009</v>
      </c>
      <c r="AJ958">
        <v>72.296599999999998</v>
      </c>
      <c r="CI958" t="s">
        <v>59</v>
      </c>
    </row>
    <row r="959" spans="1:87" x14ac:dyDescent="0.45">
      <c r="A959" t="s">
        <v>24</v>
      </c>
      <c r="B959" t="s">
        <v>5</v>
      </c>
      <c r="C959" t="s">
        <v>46</v>
      </c>
      <c r="D959" t="s">
        <v>60</v>
      </c>
      <c r="E959" t="s">
        <v>48</v>
      </c>
      <c r="F959">
        <v>0</v>
      </c>
      <c r="K959">
        <v>0</v>
      </c>
      <c r="P959">
        <v>79.643900000000002</v>
      </c>
      <c r="U959">
        <v>138.2398</v>
      </c>
      <c r="Z959">
        <v>199.84280000000001</v>
      </c>
      <c r="AE959">
        <v>318.39890000000003</v>
      </c>
      <c r="AJ959">
        <v>429.33170000000001</v>
      </c>
      <c r="CI959" t="s">
        <v>60</v>
      </c>
    </row>
    <row r="960" spans="1:87" x14ac:dyDescent="0.45">
      <c r="A960" t="s">
        <v>24</v>
      </c>
      <c r="B960" t="s">
        <v>5</v>
      </c>
      <c r="C960" t="s">
        <v>46</v>
      </c>
      <c r="D960" t="s">
        <v>61</v>
      </c>
      <c r="E960" t="s">
        <v>48</v>
      </c>
      <c r="F960">
        <v>0</v>
      </c>
      <c r="K960">
        <v>0</v>
      </c>
      <c r="P960">
        <v>51.523299999999999</v>
      </c>
      <c r="U960">
        <v>51.141500000000001</v>
      </c>
      <c r="Z960">
        <v>23.986000000000001</v>
      </c>
      <c r="AE960">
        <v>29.017900000000001</v>
      </c>
      <c r="AJ960">
        <v>52.535499999999999</v>
      </c>
      <c r="CI960" t="s">
        <v>61</v>
      </c>
    </row>
    <row r="961" spans="1:87" x14ac:dyDescent="0.45">
      <c r="A961" t="s">
        <v>24</v>
      </c>
      <c r="B961" t="s">
        <v>5</v>
      </c>
      <c r="C961" t="s">
        <v>46</v>
      </c>
      <c r="D961" t="s">
        <v>62</v>
      </c>
      <c r="E961" t="s">
        <v>48</v>
      </c>
      <c r="F961">
        <v>163.03399999999999</v>
      </c>
      <c r="K961">
        <v>147.2567</v>
      </c>
      <c r="P961">
        <v>125.5445</v>
      </c>
      <c r="U961">
        <v>105.3083</v>
      </c>
      <c r="Z961">
        <v>85.295100000000005</v>
      </c>
      <c r="AE961">
        <v>46.237400000000001</v>
      </c>
      <c r="AJ961">
        <v>4.6407999999999996</v>
      </c>
      <c r="CI961" t="s">
        <v>62</v>
      </c>
    </row>
    <row r="962" spans="1:87" x14ac:dyDescent="0.45">
      <c r="A962" t="s">
        <v>24</v>
      </c>
      <c r="B962" t="s">
        <v>5</v>
      </c>
      <c r="C962" t="s">
        <v>46</v>
      </c>
      <c r="D962" t="s">
        <v>63</v>
      </c>
      <c r="E962" t="s">
        <v>48</v>
      </c>
      <c r="F962">
        <v>-1429.8635999999999</v>
      </c>
      <c r="K962">
        <v>-1483.2371000000001</v>
      </c>
      <c r="P962">
        <v>-1646.0730000000001</v>
      </c>
      <c r="U962">
        <v>-1595.9625000000001</v>
      </c>
      <c r="Z962">
        <v>-1548.3805</v>
      </c>
      <c r="AE962">
        <v>-1495.5565999999999</v>
      </c>
      <c r="AJ962">
        <v>-1440.4931999999999</v>
      </c>
      <c r="CI962" t="s">
        <v>63</v>
      </c>
    </row>
    <row r="963" spans="1:87" x14ac:dyDescent="0.45">
      <c r="A963" t="s">
        <v>24</v>
      </c>
      <c r="B963" t="s">
        <v>5</v>
      </c>
      <c r="C963" t="s">
        <v>46</v>
      </c>
      <c r="D963" t="s">
        <v>64</v>
      </c>
      <c r="E963" t="s">
        <v>48</v>
      </c>
      <c r="F963">
        <v>-534.70759999999996</v>
      </c>
      <c r="K963">
        <v>-588.17830000000004</v>
      </c>
      <c r="P963">
        <v>-641.64909999999998</v>
      </c>
      <c r="U963">
        <v>-561.44290000000001</v>
      </c>
      <c r="Z963">
        <v>-481.23680000000002</v>
      </c>
      <c r="AE963">
        <v>-401.03070000000002</v>
      </c>
      <c r="AJ963">
        <v>-320.8245</v>
      </c>
      <c r="CI963" t="s">
        <v>64</v>
      </c>
    </row>
    <row r="964" spans="1:87" x14ac:dyDescent="0.45">
      <c r="A964" t="s">
        <v>24</v>
      </c>
      <c r="B964" t="s">
        <v>5</v>
      </c>
      <c r="C964" t="s">
        <v>46</v>
      </c>
      <c r="D964" t="s">
        <v>65</v>
      </c>
      <c r="E964" t="s">
        <v>66</v>
      </c>
      <c r="F964">
        <v>4690.5910999999996</v>
      </c>
      <c r="K964">
        <v>3920.2930999999999</v>
      </c>
      <c r="P964">
        <v>1943.1667</v>
      </c>
      <c r="U964">
        <v>1182.8176000000001</v>
      </c>
      <c r="Z964">
        <v>622.10720000000003</v>
      </c>
      <c r="AE964">
        <v>242.09180000000001</v>
      </c>
      <c r="AJ964">
        <v>-192.57900000000001</v>
      </c>
      <c r="CI964" t="s">
        <v>65</v>
      </c>
    </row>
    <row r="965" spans="1:87" x14ac:dyDescent="0.45">
      <c r="A965" t="s">
        <v>24</v>
      </c>
      <c r="B965" t="s">
        <v>5</v>
      </c>
      <c r="C965" t="s">
        <v>46</v>
      </c>
      <c r="D965" t="s">
        <v>67</v>
      </c>
      <c r="E965" t="s">
        <v>66</v>
      </c>
      <c r="F965">
        <v>1230.5565999999999</v>
      </c>
      <c r="K965">
        <v>966.24599999999998</v>
      </c>
      <c r="P965">
        <v>853.81060000000002</v>
      </c>
      <c r="U965">
        <v>724.80020000000002</v>
      </c>
      <c r="Z965">
        <v>672.11860000000001</v>
      </c>
      <c r="AE965">
        <v>587.98069999999996</v>
      </c>
      <c r="AJ965">
        <v>498.08170000000001</v>
      </c>
      <c r="CI965" t="s">
        <v>67</v>
      </c>
    </row>
    <row r="966" spans="1:87" x14ac:dyDescent="0.45">
      <c r="A966" t="s">
        <v>24</v>
      </c>
      <c r="B966" t="s">
        <v>5</v>
      </c>
      <c r="C966" t="s">
        <v>46</v>
      </c>
      <c r="D966" t="s">
        <v>68</v>
      </c>
      <c r="E966" t="s">
        <v>26</v>
      </c>
      <c r="F966">
        <v>64.129199999999997</v>
      </c>
      <c r="K966">
        <v>63.321300000000001</v>
      </c>
      <c r="P966">
        <v>54.188299999999998</v>
      </c>
      <c r="U966">
        <v>50.065300000000001</v>
      </c>
      <c r="Z966">
        <v>44.7744</v>
      </c>
      <c r="AE966">
        <v>41.601900000000001</v>
      </c>
      <c r="AJ966">
        <v>38.235199999999999</v>
      </c>
      <c r="CI966" t="s">
        <v>68</v>
      </c>
    </row>
    <row r="967" spans="1:87" x14ac:dyDescent="0.45">
      <c r="A967" t="s">
        <v>24</v>
      </c>
      <c r="B967" t="s">
        <v>5</v>
      </c>
      <c r="C967" t="s">
        <v>46</v>
      </c>
      <c r="D967" t="s">
        <v>69</v>
      </c>
      <c r="E967" t="s">
        <v>26</v>
      </c>
      <c r="F967">
        <v>13.9602</v>
      </c>
      <c r="K967">
        <v>15.263400000000001</v>
      </c>
      <c r="P967">
        <v>13.987500000000001</v>
      </c>
      <c r="U967">
        <v>14.2189</v>
      </c>
      <c r="Z967">
        <v>14.253</v>
      </c>
      <c r="AE967">
        <v>14.780900000000001</v>
      </c>
      <c r="AJ967">
        <v>15.845700000000001</v>
      </c>
      <c r="CI967" t="s">
        <v>69</v>
      </c>
    </row>
    <row r="968" spans="1:87" x14ac:dyDescent="0.45">
      <c r="A968" t="s">
        <v>24</v>
      </c>
      <c r="B968" t="s">
        <v>5</v>
      </c>
      <c r="C968" t="s">
        <v>46</v>
      </c>
      <c r="D968" t="s">
        <v>70</v>
      </c>
      <c r="E968" t="s">
        <v>26</v>
      </c>
      <c r="F968">
        <v>12.3941</v>
      </c>
      <c r="K968">
        <v>9.3338999999999999</v>
      </c>
      <c r="P968">
        <v>6.1596000000000002</v>
      </c>
      <c r="U968">
        <v>4.7404000000000002</v>
      </c>
      <c r="Z968">
        <v>4.0614999999999997</v>
      </c>
      <c r="AE968">
        <v>3.7665000000000002</v>
      </c>
      <c r="AJ968">
        <v>1.9263999999999999</v>
      </c>
      <c r="CI968" t="s">
        <v>70</v>
      </c>
    </row>
    <row r="969" spans="1:87" x14ac:dyDescent="0.45">
      <c r="A969" t="s">
        <v>24</v>
      </c>
      <c r="B969" t="s">
        <v>5</v>
      </c>
      <c r="C969" t="s">
        <v>46</v>
      </c>
      <c r="D969" t="s">
        <v>71</v>
      </c>
      <c r="E969" t="s">
        <v>26</v>
      </c>
      <c r="F969">
        <v>0.36359999999999998</v>
      </c>
      <c r="K969">
        <v>0.39340000000000003</v>
      </c>
      <c r="P969">
        <v>0.53990000000000005</v>
      </c>
      <c r="U969">
        <v>0.6633</v>
      </c>
      <c r="Z969">
        <v>0.72430000000000005</v>
      </c>
      <c r="AE969">
        <v>0.71730000000000005</v>
      </c>
      <c r="AJ969">
        <v>0.75549999999999995</v>
      </c>
      <c r="CI969" t="s">
        <v>71</v>
      </c>
    </row>
    <row r="970" spans="1:87" x14ac:dyDescent="0.45">
      <c r="A970" t="s">
        <v>24</v>
      </c>
      <c r="B970" t="s">
        <v>5</v>
      </c>
      <c r="C970" t="s">
        <v>46</v>
      </c>
      <c r="D970" t="s">
        <v>72</v>
      </c>
      <c r="E970" t="s">
        <v>26</v>
      </c>
      <c r="F970">
        <v>0</v>
      </c>
      <c r="K970">
        <v>7.6100000000000001E-2</v>
      </c>
      <c r="P970">
        <v>0.45390000000000003</v>
      </c>
      <c r="U970">
        <v>1.0146999999999999</v>
      </c>
      <c r="Z970">
        <v>1.9821</v>
      </c>
      <c r="AE970">
        <v>3.1570999999999998</v>
      </c>
      <c r="AJ970">
        <v>4.0557999999999996</v>
      </c>
      <c r="CI970" t="s">
        <v>72</v>
      </c>
    </row>
    <row r="971" spans="1:87" x14ac:dyDescent="0.45">
      <c r="A971" t="s">
        <v>24</v>
      </c>
      <c r="B971" t="s">
        <v>5</v>
      </c>
      <c r="C971" t="s">
        <v>46</v>
      </c>
      <c r="D971" t="s">
        <v>73</v>
      </c>
      <c r="E971" t="s">
        <v>26</v>
      </c>
      <c r="F971">
        <v>14.5341</v>
      </c>
      <c r="K971">
        <v>13.5709</v>
      </c>
      <c r="P971">
        <v>13</v>
      </c>
      <c r="U971">
        <v>11.1099</v>
      </c>
      <c r="Z971">
        <v>9.0764999999999993</v>
      </c>
      <c r="AE971">
        <v>7.5683999999999996</v>
      </c>
      <c r="AJ971">
        <v>6.7328999999999999</v>
      </c>
      <c r="CI971" t="s">
        <v>73</v>
      </c>
    </row>
    <row r="972" spans="1:87" x14ac:dyDescent="0.45">
      <c r="A972" t="s">
        <v>24</v>
      </c>
      <c r="B972" t="s">
        <v>5</v>
      </c>
      <c r="C972" t="s">
        <v>46</v>
      </c>
      <c r="D972" t="s">
        <v>74</v>
      </c>
      <c r="E972" t="s">
        <v>26</v>
      </c>
      <c r="F972">
        <v>6.0833000000000004</v>
      </c>
      <c r="K972">
        <v>4.0864000000000003</v>
      </c>
      <c r="P972">
        <v>3.1461000000000001</v>
      </c>
      <c r="U972">
        <v>2.3331</v>
      </c>
      <c r="Z972">
        <v>1.5801000000000001</v>
      </c>
      <c r="AE972">
        <v>0.8266</v>
      </c>
      <c r="AJ972">
        <v>0.4955</v>
      </c>
      <c r="CI972" t="s">
        <v>74</v>
      </c>
    </row>
    <row r="973" spans="1:87" x14ac:dyDescent="0.45">
      <c r="A973" t="s">
        <v>24</v>
      </c>
      <c r="B973" t="s">
        <v>5</v>
      </c>
      <c r="C973" t="s">
        <v>46</v>
      </c>
      <c r="D973" t="s">
        <v>75</v>
      </c>
      <c r="E973" t="s">
        <v>26</v>
      </c>
      <c r="F973">
        <v>0</v>
      </c>
      <c r="K973">
        <v>0.1019</v>
      </c>
      <c r="P973">
        <v>0.23669999999999999</v>
      </c>
      <c r="U973">
        <v>0.40679999999999999</v>
      </c>
      <c r="Z973">
        <v>0.34870000000000001</v>
      </c>
      <c r="AE973">
        <v>0.2011</v>
      </c>
      <c r="AJ973">
        <v>9.2200000000000004E-2</v>
      </c>
      <c r="CI973" t="s">
        <v>75</v>
      </c>
    </row>
    <row r="974" spans="1:87" x14ac:dyDescent="0.45">
      <c r="A974" t="s">
        <v>24</v>
      </c>
      <c r="B974" t="s">
        <v>5</v>
      </c>
      <c r="C974" t="s">
        <v>46</v>
      </c>
      <c r="D974" t="s">
        <v>76</v>
      </c>
      <c r="E974" t="s">
        <v>26</v>
      </c>
      <c r="F974">
        <v>0</v>
      </c>
      <c r="K974">
        <v>7.6100000000000001E-2</v>
      </c>
      <c r="P974">
        <v>0.13100000000000001</v>
      </c>
      <c r="U974">
        <v>0.1195</v>
      </c>
      <c r="Z974">
        <v>0.1024</v>
      </c>
      <c r="AE974">
        <v>9.06E-2</v>
      </c>
      <c r="AJ974">
        <v>8.0600000000000005E-2</v>
      </c>
      <c r="CI974" t="s">
        <v>76</v>
      </c>
    </row>
    <row r="975" spans="1:87" x14ac:dyDescent="0.45">
      <c r="A975" t="s">
        <v>24</v>
      </c>
      <c r="B975" t="s">
        <v>5</v>
      </c>
      <c r="C975" t="s">
        <v>46</v>
      </c>
      <c r="D975" t="s">
        <v>77</v>
      </c>
      <c r="E975" t="s">
        <v>26</v>
      </c>
      <c r="F975">
        <v>4.8034999999999997</v>
      </c>
      <c r="K975">
        <v>5.1464999999999996</v>
      </c>
      <c r="P975">
        <v>6.4870999999999999</v>
      </c>
      <c r="U975">
        <v>5.2819000000000003</v>
      </c>
      <c r="Z975">
        <v>4.4020000000000001</v>
      </c>
      <c r="AE975">
        <v>3.8067000000000002</v>
      </c>
      <c r="AJ975">
        <v>3.3904000000000001</v>
      </c>
      <c r="CI975" t="s">
        <v>77</v>
      </c>
    </row>
    <row r="976" spans="1:87" x14ac:dyDescent="0.45">
      <c r="A976" t="s">
        <v>24</v>
      </c>
      <c r="B976" t="s">
        <v>5</v>
      </c>
      <c r="C976" t="s">
        <v>46</v>
      </c>
      <c r="D976" t="s">
        <v>78</v>
      </c>
      <c r="E976" t="s">
        <v>26</v>
      </c>
      <c r="F976">
        <v>0.44419999999999998</v>
      </c>
      <c r="K976">
        <v>0.50849999999999995</v>
      </c>
      <c r="P976">
        <v>1.0075000000000001</v>
      </c>
      <c r="U976">
        <v>0.91080000000000005</v>
      </c>
      <c r="Z976">
        <v>0.93230000000000002</v>
      </c>
      <c r="AE976">
        <v>0.93669999999999998</v>
      </c>
      <c r="AJ976">
        <v>0.81020000000000003</v>
      </c>
      <c r="CI976" t="s">
        <v>78</v>
      </c>
    </row>
    <row r="977" spans="1:87" x14ac:dyDescent="0.45">
      <c r="A977" t="s">
        <v>24</v>
      </c>
      <c r="B977" t="s">
        <v>5</v>
      </c>
      <c r="C977" t="s">
        <v>46</v>
      </c>
      <c r="D977" t="s">
        <v>79</v>
      </c>
      <c r="E977" t="s">
        <v>26</v>
      </c>
      <c r="F977">
        <v>4.3429000000000002</v>
      </c>
      <c r="K977">
        <v>4.6670999999999996</v>
      </c>
      <c r="P977">
        <v>5.5392999999999999</v>
      </c>
      <c r="U977">
        <v>4.5023999999999997</v>
      </c>
      <c r="Z977">
        <v>3.6486999999999998</v>
      </c>
      <c r="AE977">
        <v>3.0217000000000001</v>
      </c>
      <c r="AJ977">
        <v>2.6916000000000002</v>
      </c>
      <c r="CI977" t="s">
        <v>79</v>
      </c>
    </row>
    <row r="978" spans="1:87" x14ac:dyDescent="0.45">
      <c r="A978" t="s">
        <v>24</v>
      </c>
      <c r="B978" t="s">
        <v>5</v>
      </c>
      <c r="C978" t="s">
        <v>46</v>
      </c>
      <c r="D978" t="s">
        <v>80</v>
      </c>
      <c r="E978" t="s">
        <v>26</v>
      </c>
      <c r="F978">
        <v>1.0273000000000001</v>
      </c>
      <c r="K978">
        <v>1.3543000000000001</v>
      </c>
      <c r="P978">
        <v>1.2718</v>
      </c>
      <c r="U978">
        <v>1.1464000000000001</v>
      </c>
      <c r="Z978">
        <v>0.95130000000000003</v>
      </c>
      <c r="AE978">
        <v>0.88890000000000002</v>
      </c>
      <c r="AJ978">
        <v>0.89949999999999997</v>
      </c>
      <c r="CI978" t="s">
        <v>80</v>
      </c>
    </row>
    <row r="979" spans="1:87" x14ac:dyDescent="0.45">
      <c r="A979" t="s">
        <v>24</v>
      </c>
      <c r="B979" t="s">
        <v>5</v>
      </c>
      <c r="C979" t="s">
        <v>46</v>
      </c>
      <c r="D979" t="s">
        <v>81</v>
      </c>
      <c r="E979" t="s">
        <v>26</v>
      </c>
      <c r="F979">
        <v>0.23200000000000001</v>
      </c>
      <c r="K979">
        <v>0.4975</v>
      </c>
      <c r="P979">
        <v>0.42420000000000002</v>
      </c>
      <c r="U979">
        <v>0.54600000000000004</v>
      </c>
      <c r="Z979">
        <v>0.749</v>
      </c>
      <c r="AE979">
        <v>0.85209999999999997</v>
      </c>
      <c r="AJ979">
        <v>0.87039999999999995</v>
      </c>
      <c r="CI979" t="s">
        <v>81</v>
      </c>
    </row>
    <row r="980" spans="1:87" x14ac:dyDescent="0.45">
      <c r="A980" t="s">
        <v>24</v>
      </c>
      <c r="B980" t="s">
        <v>5</v>
      </c>
      <c r="C980" t="s">
        <v>46</v>
      </c>
      <c r="D980" t="s">
        <v>82</v>
      </c>
      <c r="E980" t="s">
        <v>26</v>
      </c>
      <c r="F980">
        <v>0.80859999999999999</v>
      </c>
      <c r="K980">
        <v>0.872</v>
      </c>
      <c r="P980">
        <v>0.86150000000000004</v>
      </c>
      <c r="U980">
        <v>0.61329999999999996</v>
      </c>
      <c r="Z980">
        <v>0.2142</v>
      </c>
      <c r="AE980">
        <v>4.7899999999999998E-2</v>
      </c>
      <c r="AJ980">
        <v>3.9100000000000003E-2</v>
      </c>
      <c r="CI980" t="s">
        <v>82</v>
      </c>
    </row>
    <row r="981" spans="1:87" x14ac:dyDescent="0.45">
      <c r="A981" t="s">
        <v>24</v>
      </c>
      <c r="B981" t="s">
        <v>5</v>
      </c>
      <c r="C981" t="s">
        <v>46</v>
      </c>
      <c r="D981" t="s">
        <v>83</v>
      </c>
      <c r="E981" t="s">
        <v>26</v>
      </c>
      <c r="F981">
        <v>33.060400000000001</v>
      </c>
      <c r="K981">
        <v>34.132800000000003</v>
      </c>
      <c r="P981">
        <v>28.929099999999998</v>
      </c>
      <c r="U981">
        <v>24.511800000000001</v>
      </c>
      <c r="Z981">
        <v>19.304500000000001</v>
      </c>
      <c r="AE981">
        <v>15.1945</v>
      </c>
      <c r="AJ981">
        <v>11.650399999999999</v>
      </c>
      <c r="CI981" t="s">
        <v>83</v>
      </c>
    </row>
    <row r="982" spans="1:87" x14ac:dyDescent="0.45">
      <c r="A982" t="s">
        <v>24</v>
      </c>
      <c r="B982" t="s">
        <v>5</v>
      </c>
      <c r="C982" t="s">
        <v>46</v>
      </c>
      <c r="D982" t="s">
        <v>84</v>
      </c>
      <c r="E982" t="s">
        <v>26</v>
      </c>
      <c r="F982">
        <v>22.044</v>
      </c>
      <c r="K982">
        <v>22.6919</v>
      </c>
      <c r="P982">
        <v>17.065799999999999</v>
      </c>
      <c r="U982">
        <v>15.899699999999999</v>
      </c>
      <c r="Z982">
        <v>14.433299999999999</v>
      </c>
      <c r="AE982">
        <v>13.3012</v>
      </c>
      <c r="AJ982">
        <v>12.1067</v>
      </c>
      <c r="CI982" t="s">
        <v>84</v>
      </c>
    </row>
    <row r="983" spans="1:87" x14ac:dyDescent="0.45">
      <c r="A983" t="s">
        <v>24</v>
      </c>
      <c r="B983" t="s">
        <v>5</v>
      </c>
      <c r="C983" t="s">
        <v>46</v>
      </c>
      <c r="D983" t="s">
        <v>85</v>
      </c>
      <c r="E983" t="s">
        <v>26</v>
      </c>
      <c r="F983">
        <v>6.3108000000000004</v>
      </c>
      <c r="K983">
        <v>5.2474999999999996</v>
      </c>
      <c r="P983">
        <v>2.5918000000000001</v>
      </c>
      <c r="U983">
        <v>1.3545</v>
      </c>
      <c r="Z983">
        <v>0.45500000000000002</v>
      </c>
      <c r="AE983">
        <v>0.129</v>
      </c>
      <c r="AJ983">
        <v>3.8100000000000002E-2</v>
      </c>
      <c r="CI983" t="s">
        <v>85</v>
      </c>
    </row>
    <row r="984" spans="1:87" x14ac:dyDescent="0.45">
      <c r="A984" t="s">
        <v>24</v>
      </c>
      <c r="B984" t="s">
        <v>5</v>
      </c>
      <c r="C984" t="s">
        <v>46</v>
      </c>
      <c r="D984" t="s">
        <v>86</v>
      </c>
      <c r="E984" t="s">
        <v>26</v>
      </c>
      <c r="F984">
        <v>0.36359999999999998</v>
      </c>
      <c r="K984">
        <v>0.29149999999999998</v>
      </c>
      <c r="P984">
        <v>0.30309999999999998</v>
      </c>
      <c r="U984">
        <v>0.25640000000000002</v>
      </c>
      <c r="Z984">
        <v>0.37559999999999999</v>
      </c>
      <c r="AE984">
        <v>0.51629999999999998</v>
      </c>
      <c r="AJ984">
        <v>0.66320000000000001</v>
      </c>
      <c r="CI984" t="s">
        <v>86</v>
      </c>
    </row>
    <row r="985" spans="1:87" x14ac:dyDescent="0.45">
      <c r="A985" t="s">
        <v>24</v>
      </c>
      <c r="B985" t="s">
        <v>5</v>
      </c>
      <c r="C985" t="s">
        <v>46</v>
      </c>
      <c r="D985" t="s">
        <v>87</v>
      </c>
      <c r="E985" t="s">
        <v>26</v>
      </c>
      <c r="F985">
        <v>0</v>
      </c>
      <c r="K985">
        <v>0</v>
      </c>
      <c r="P985">
        <v>0</v>
      </c>
      <c r="U985">
        <v>0</v>
      </c>
      <c r="Z985">
        <v>0</v>
      </c>
      <c r="AE985">
        <v>0</v>
      </c>
      <c r="AJ985">
        <v>0</v>
      </c>
      <c r="CI985" t="s">
        <v>87</v>
      </c>
    </row>
    <row r="986" spans="1:87" x14ac:dyDescent="0.45">
      <c r="A986" t="s">
        <v>24</v>
      </c>
      <c r="B986" t="s">
        <v>5</v>
      </c>
      <c r="C986" t="s">
        <v>46</v>
      </c>
      <c r="D986" t="s">
        <v>88</v>
      </c>
      <c r="E986" t="s">
        <v>26</v>
      </c>
      <c r="F986">
        <v>3.0726</v>
      </c>
      <c r="K986">
        <v>3.105</v>
      </c>
      <c r="P986">
        <v>1.2019</v>
      </c>
      <c r="U986">
        <v>0.67630000000000001</v>
      </c>
      <c r="Z986">
        <v>0.54549999999999998</v>
      </c>
      <c r="AE986">
        <v>0.46400000000000002</v>
      </c>
      <c r="AJ986">
        <v>0.3931</v>
      </c>
      <c r="CI986" t="s">
        <v>88</v>
      </c>
    </row>
    <row r="987" spans="1:87" x14ac:dyDescent="0.45">
      <c r="A987" t="s">
        <v>24</v>
      </c>
      <c r="B987" t="s">
        <v>5</v>
      </c>
      <c r="C987" t="s">
        <v>46</v>
      </c>
      <c r="D987" t="s">
        <v>90</v>
      </c>
      <c r="E987" t="s">
        <v>26</v>
      </c>
      <c r="F987">
        <v>3.1307</v>
      </c>
      <c r="K987">
        <v>3.1282000000000001</v>
      </c>
      <c r="P987">
        <v>1.1996</v>
      </c>
      <c r="U987">
        <v>0.66320000000000001</v>
      </c>
      <c r="Z987">
        <v>0.52180000000000004</v>
      </c>
      <c r="AE987">
        <v>0.43280000000000002</v>
      </c>
      <c r="AJ987">
        <v>0.3609</v>
      </c>
      <c r="CI987" t="s">
        <v>90</v>
      </c>
    </row>
    <row r="988" spans="1:87" x14ac:dyDescent="0.45">
      <c r="A988" t="s">
        <v>24</v>
      </c>
      <c r="B988" t="s">
        <v>5</v>
      </c>
      <c r="C988" t="s">
        <v>46</v>
      </c>
      <c r="D988" t="s">
        <v>91</v>
      </c>
      <c r="E988" t="s">
        <v>26</v>
      </c>
      <c r="F988">
        <v>0</v>
      </c>
      <c r="K988">
        <v>0</v>
      </c>
      <c r="P988">
        <v>0</v>
      </c>
      <c r="U988">
        <v>0</v>
      </c>
      <c r="Z988">
        <v>0</v>
      </c>
      <c r="AE988">
        <v>0</v>
      </c>
      <c r="AJ988">
        <v>0</v>
      </c>
      <c r="CI988" t="s">
        <v>91</v>
      </c>
    </row>
    <row r="989" spans="1:87" x14ac:dyDescent="0.45">
      <c r="A989" t="s">
        <v>24</v>
      </c>
      <c r="B989" t="s">
        <v>5</v>
      </c>
      <c r="C989" t="s">
        <v>46</v>
      </c>
      <c r="D989" t="s">
        <v>92</v>
      </c>
      <c r="E989" t="s">
        <v>26</v>
      </c>
      <c r="F989">
        <v>0</v>
      </c>
      <c r="K989">
        <v>0</v>
      </c>
      <c r="P989">
        <v>0</v>
      </c>
      <c r="U989">
        <v>0</v>
      </c>
      <c r="Z989">
        <v>0</v>
      </c>
      <c r="AE989">
        <v>0</v>
      </c>
      <c r="AJ989">
        <v>0</v>
      </c>
      <c r="CI989" t="s">
        <v>92</v>
      </c>
    </row>
    <row r="990" spans="1:87" x14ac:dyDescent="0.45">
      <c r="A990" t="s">
        <v>24</v>
      </c>
      <c r="B990" t="s">
        <v>5</v>
      </c>
      <c r="C990" t="s">
        <v>46</v>
      </c>
      <c r="D990" t="s">
        <v>93</v>
      </c>
      <c r="E990" t="s">
        <v>26</v>
      </c>
      <c r="F990">
        <v>0</v>
      </c>
      <c r="K990">
        <v>0</v>
      </c>
      <c r="P990">
        <v>0</v>
      </c>
      <c r="U990">
        <v>0</v>
      </c>
      <c r="Z990">
        <v>0</v>
      </c>
      <c r="AE990">
        <v>0</v>
      </c>
      <c r="AJ990">
        <v>0</v>
      </c>
      <c r="CI990" t="s">
        <v>93</v>
      </c>
    </row>
    <row r="991" spans="1:87" x14ac:dyDescent="0.45">
      <c r="A991" t="s">
        <v>24</v>
      </c>
      <c r="B991" t="s">
        <v>5</v>
      </c>
      <c r="C991" t="s">
        <v>46</v>
      </c>
      <c r="D991" t="s">
        <v>94</v>
      </c>
      <c r="E991" t="s">
        <v>26</v>
      </c>
      <c r="F991">
        <v>1.0273000000000001</v>
      </c>
      <c r="K991">
        <v>1.3543000000000001</v>
      </c>
      <c r="P991">
        <v>1.2718</v>
      </c>
      <c r="U991">
        <v>1.1464000000000001</v>
      </c>
      <c r="Z991">
        <v>0.95130000000000003</v>
      </c>
      <c r="AE991">
        <v>0.88890000000000002</v>
      </c>
      <c r="AJ991">
        <v>0.89949999999999997</v>
      </c>
      <c r="CI991" t="s">
        <v>94</v>
      </c>
    </row>
    <row r="992" spans="1:87" x14ac:dyDescent="0.45">
      <c r="A992" t="s">
        <v>24</v>
      </c>
      <c r="B992" t="s">
        <v>5</v>
      </c>
      <c r="C992" t="s">
        <v>46</v>
      </c>
      <c r="D992" t="s">
        <v>95</v>
      </c>
      <c r="E992" t="s">
        <v>26</v>
      </c>
      <c r="F992">
        <v>25.133800000000001</v>
      </c>
      <c r="K992">
        <v>25.758400000000002</v>
      </c>
      <c r="P992">
        <v>22.108799999999999</v>
      </c>
      <c r="U992">
        <v>21.065999999999999</v>
      </c>
      <c r="Z992">
        <v>19.5868</v>
      </c>
      <c r="AE992">
        <v>19.376899999999999</v>
      </c>
      <c r="AJ992">
        <v>17.955400000000001</v>
      </c>
      <c r="CI992" t="s">
        <v>95</v>
      </c>
    </row>
    <row r="993" spans="1:87" x14ac:dyDescent="0.45">
      <c r="A993" t="s">
        <v>24</v>
      </c>
      <c r="B993" t="s">
        <v>5</v>
      </c>
      <c r="C993" t="s">
        <v>46</v>
      </c>
      <c r="D993" t="s">
        <v>96</v>
      </c>
      <c r="E993" t="s">
        <v>26</v>
      </c>
      <c r="F993">
        <v>0</v>
      </c>
      <c r="K993">
        <v>0</v>
      </c>
      <c r="P993">
        <v>0.42170000000000002</v>
      </c>
      <c r="U993">
        <v>1.0528</v>
      </c>
      <c r="Z993">
        <v>2.0264000000000002</v>
      </c>
      <c r="AE993">
        <v>2.8109000000000002</v>
      </c>
      <c r="AJ993">
        <v>1.3928</v>
      </c>
      <c r="CI993" t="s">
        <v>96</v>
      </c>
    </row>
    <row r="994" spans="1:87" x14ac:dyDescent="0.45">
      <c r="A994" t="s">
        <v>24</v>
      </c>
      <c r="B994" t="s">
        <v>5</v>
      </c>
      <c r="C994" t="s">
        <v>46</v>
      </c>
      <c r="D994" t="s">
        <v>210</v>
      </c>
      <c r="E994" t="s">
        <v>26</v>
      </c>
      <c r="F994">
        <v>0</v>
      </c>
      <c r="K994">
        <v>0</v>
      </c>
      <c r="P994">
        <v>0.32279999999999998</v>
      </c>
      <c r="U994">
        <v>0.8952</v>
      </c>
      <c r="Z994">
        <v>1.8794999999999999</v>
      </c>
      <c r="AE994">
        <v>3.0661</v>
      </c>
      <c r="AJ994">
        <v>3.9748000000000001</v>
      </c>
      <c r="CI994" t="s">
        <v>210</v>
      </c>
    </row>
    <row r="995" spans="1:87" x14ac:dyDescent="0.45">
      <c r="A995" t="s">
        <v>24</v>
      </c>
      <c r="B995" t="s">
        <v>5</v>
      </c>
      <c r="C995" t="s">
        <v>46</v>
      </c>
      <c r="D995" t="s">
        <v>97</v>
      </c>
      <c r="E995" t="s">
        <v>26</v>
      </c>
      <c r="F995">
        <v>25.1844</v>
      </c>
      <c r="K995">
        <v>25.8813</v>
      </c>
      <c r="P995">
        <v>21.240100000000002</v>
      </c>
      <c r="U995">
        <v>18.553699999999999</v>
      </c>
      <c r="Z995">
        <v>14.356999999999999</v>
      </c>
      <c r="AE995">
        <v>10.9237</v>
      </c>
      <c r="AJ995">
        <v>7.8667999999999996</v>
      </c>
      <c r="CI995" t="s">
        <v>97</v>
      </c>
    </row>
    <row r="996" spans="1:87" x14ac:dyDescent="0.45">
      <c r="A996" t="s">
        <v>24</v>
      </c>
      <c r="B996" t="s">
        <v>5</v>
      </c>
      <c r="C996" t="s">
        <v>46</v>
      </c>
      <c r="D996" t="s">
        <v>98</v>
      </c>
      <c r="E996" t="s">
        <v>26</v>
      </c>
      <c r="F996">
        <v>23.057099999999998</v>
      </c>
      <c r="K996">
        <v>23.516400000000001</v>
      </c>
      <c r="P996">
        <v>18.052800000000001</v>
      </c>
      <c r="U996">
        <v>15.465299999999999</v>
      </c>
      <c r="Z996">
        <v>11.4268</v>
      </c>
      <c r="AE996">
        <v>8.3347999999999995</v>
      </c>
      <c r="AJ996">
        <v>6.0537999999999998</v>
      </c>
      <c r="CI996" t="s">
        <v>98</v>
      </c>
    </row>
    <row r="997" spans="1:87" x14ac:dyDescent="0.45">
      <c r="A997" t="s">
        <v>24</v>
      </c>
      <c r="B997" t="s">
        <v>5</v>
      </c>
      <c r="C997" t="s">
        <v>46</v>
      </c>
      <c r="D997" t="s">
        <v>101</v>
      </c>
      <c r="E997" t="s">
        <v>102</v>
      </c>
      <c r="F997">
        <v>335.11259999999999</v>
      </c>
      <c r="K997">
        <v>347.33879999999999</v>
      </c>
      <c r="P997">
        <v>360.10340000000002</v>
      </c>
      <c r="U997">
        <v>371.43430000000001</v>
      </c>
      <c r="Z997">
        <v>382.77010000000001</v>
      </c>
      <c r="AE997">
        <v>392.61290000000002</v>
      </c>
      <c r="AJ997">
        <v>402.44220000000001</v>
      </c>
      <c r="CI997" t="s">
        <v>101</v>
      </c>
    </row>
    <row r="998" spans="1:87" x14ac:dyDescent="0.45">
      <c r="A998" t="s">
        <v>24</v>
      </c>
      <c r="B998" t="s">
        <v>5</v>
      </c>
      <c r="C998" t="s">
        <v>46</v>
      </c>
      <c r="D998" t="s">
        <v>103</v>
      </c>
      <c r="E998" t="s">
        <v>104</v>
      </c>
      <c r="F998">
        <v>0.99990000000000001</v>
      </c>
      <c r="K998">
        <v>0.93110000000000004</v>
      </c>
      <c r="P998">
        <v>0.87270000000000003</v>
      </c>
      <c r="U998">
        <v>0.87529999999999997</v>
      </c>
      <c r="Z998">
        <v>0.87270000000000003</v>
      </c>
      <c r="AE998">
        <v>0.86619999999999997</v>
      </c>
      <c r="AJ998">
        <v>0.85470000000000002</v>
      </c>
      <c r="CI998" t="s">
        <v>103</v>
      </c>
    </row>
    <row r="999" spans="1:87" x14ac:dyDescent="0.45">
      <c r="A999" t="s">
        <v>24</v>
      </c>
      <c r="B999" t="s">
        <v>5</v>
      </c>
      <c r="C999" t="s">
        <v>46</v>
      </c>
      <c r="D999" t="s">
        <v>105</v>
      </c>
      <c r="E999" t="s">
        <v>104</v>
      </c>
      <c r="F999">
        <v>1.0125</v>
      </c>
      <c r="K999">
        <v>0.9415</v>
      </c>
      <c r="P999">
        <v>0.87560000000000004</v>
      </c>
      <c r="U999">
        <v>0.82540000000000002</v>
      </c>
      <c r="Z999">
        <v>0.7641</v>
      </c>
      <c r="AE999">
        <v>0.71860000000000002</v>
      </c>
      <c r="AJ999">
        <v>0.66320000000000001</v>
      </c>
      <c r="CI999" t="s">
        <v>105</v>
      </c>
    </row>
    <row r="1000" spans="1:87" x14ac:dyDescent="0.45">
      <c r="A1000" t="s">
        <v>24</v>
      </c>
      <c r="B1000" t="s">
        <v>5</v>
      </c>
      <c r="C1000" t="s">
        <v>46</v>
      </c>
      <c r="D1000" t="s">
        <v>106</v>
      </c>
      <c r="E1000" t="s">
        <v>107</v>
      </c>
      <c r="F1000">
        <v>0</v>
      </c>
      <c r="K1000">
        <v>40.619599999999998</v>
      </c>
      <c r="P1000">
        <v>218.50899999999999</v>
      </c>
      <c r="U1000">
        <v>272.2201</v>
      </c>
      <c r="Z1000">
        <v>328.44920000000002</v>
      </c>
      <c r="AE1000">
        <v>464.65750000000003</v>
      </c>
      <c r="AJ1000">
        <v>554.21479999999997</v>
      </c>
      <c r="CI1000" t="s">
        <v>106</v>
      </c>
    </row>
    <row r="1001" spans="1:87" x14ac:dyDescent="0.45">
      <c r="A1001" t="s">
        <v>24</v>
      </c>
      <c r="B1001" t="s">
        <v>5</v>
      </c>
      <c r="C1001" t="s">
        <v>46</v>
      </c>
      <c r="D1001" t="s">
        <v>108</v>
      </c>
      <c r="E1001" t="s">
        <v>31</v>
      </c>
      <c r="F1001">
        <v>6.4366000000000003</v>
      </c>
      <c r="K1001">
        <v>12.141299999999999</v>
      </c>
      <c r="P1001">
        <v>19.778500000000001</v>
      </c>
      <c r="U1001">
        <v>21.100300000000001</v>
      </c>
      <c r="Z1001">
        <v>25.939299999999999</v>
      </c>
      <c r="AE1001">
        <v>23.464400000000001</v>
      </c>
      <c r="AJ1001">
        <v>24.114100000000001</v>
      </c>
      <c r="CI1001" t="s">
        <v>108</v>
      </c>
    </row>
    <row r="1002" spans="1:87" x14ac:dyDescent="0.45">
      <c r="A1002" t="s">
        <v>24</v>
      </c>
      <c r="B1002" t="s">
        <v>5</v>
      </c>
      <c r="C1002" t="s">
        <v>46</v>
      </c>
      <c r="D1002" t="s">
        <v>109</v>
      </c>
      <c r="E1002" t="s">
        <v>31</v>
      </c>
      <c r="F1002">
        <v>13.0496</v>
      </c>
      <c r="K1002">
        <v>10.955399999999999</v>
      </c>
      <c r="P1002">
        <v>26.708400000000001</v>
      </c>
      <c r="U1002">
        <v>26.325099999999999</v>
      </c>
      <c r="Z1002">
        <v>30.508800000000001</v>
      </c>
      <c r="AE1002">
        <v>46.784700000000001</v>
      </c>
      <c r="AJ1002">
        <v>37.043399999999998</v>
      </c>
      <c r="CI1002" t="s">
        <v>109</v>
      </c>
    </row>
    <row r="1003" spans="1:87" x14ac:dyDescent="0.45">
      <c r="A1003" t="s">
        <v>24</v>
      </c>
      <c r="B1003" t="s">
        <v>5</v>
      </c>
      <c r="C1003" t="s">
        <v>46</v>
      </c>
      <c r="D1003" t="s">
        <v>110</v>
      </c>
      <c r="E1003" t="s">
        <v>31</v>
      </c>
      <c r="F1003">
        <v>0</v>
      </c>
      <c r="K1003">
        <v>0</v>
      </c>
      <c r="P1003">
        <v>0</v>
      </c>
      <c r="U1003">
        <v>0</v>
      </c>
      <c r="Z1003">
        <v>0</v>
      </c>
      <c r="AE1003">
        <v>0</v>
      </c>
      <c r="AJ1003">
        <v>0</v>
      </c>
      <c r="CI1003" t="s">
        <v>110</v>
      </c>
    </row>
    <row r="1004" spans="1:87" x14ac:dyDescent="0.45">
      <c r="A1004" t="s">
        <v>24</v>
      </c>
      <c r="B1004" t="s">
        <v>5</v>
      </c>
      <c r="C1004" t="s">
        <v>46</v>
      </c>
      <c r="D1004" t="s">
        <v>111</v>
      </c>
      <c r="E1004" t="s">
        <v>31</v>
      </c>
      <c r="F1004">
        <v>49.3825</v>
      </c>
      <c r="K1004">
        <v>7.7740999999999998</v>
      </c>
      <c r="P1004">
        <v>50.992600000000003</v>
      </c>
      <c r="U1004">
        <v>28.463899999999999</v>
      </c>
      <c r="Z1004">
        <v>34.404800000000002</v>
      </c>
      <c r="AE1004">
        <v>60.564599999999999</v>
      </c>
      <c r="AJ1004">
        <v>51.595500000000001</v>
      </c>
      <c r="CI1004" t="s">
        <v>111</v>
      </c>
    </row>
    <row r="1005" spans="1:87" x14ac:dyDescent="0.45">
      <c r="A1005" t="s">
        <v>24</v>
      </c>
      <c r="B1005" t="s">
        <v>5</v>
      </c>
      <c r="C1005" t="s">
        <v>46</v>
      </c>
      <c r="D1005" t="s">
        <v>112</v>
      </c>
      <c r="E1005" t="s">
        <v>26</v>
      </c>
      <c r="F1005">
        <v>80.738900000000001</v>
      </c>
      <c r="K1005">
        <v>77.155100000000004</v>
      </c>
      <c r="P1005">
        <v>61.282200000000003</v>
      </c>
      <c r="U1005">
        <v>55.023200000000003</v>
      </c>
      <c r="Z1005">
        <v>49.117699999999999</v>
      </c>
      <c r="AE1005">
        <v>47.200099999999999</v>
      </c>
      <c r="AJ1005">
        <v>42.667200000000001</v>
      </c>
      <c r="CI1005" t="s">
        <v>112</v>
      </c>
    </row>
    <row r="1006" spans="1:87" x14ac:dyDescent="0.45">
      <c r="A1006" t="s">
        <v>24</v>
      </c>
      <c r="B1006" t="s">
        <v>5</v>
      </c>
      <c r="C1006" t="s">
        <v>46</v>
      </c>
      <c r="D1006" t="s">
        <v>113</v>
      </c>
      <c r="E1006" t="s">
        <v>26</v>
      </c>
      <c r="F1006">
        <v>6.8188000000000004</v>
      </c>
      <c r="K1006">
        <v>6.7683</v>
      </c>
      <c r="P1006">
        <v>8.1649999999999991</v>
      </c>
      <c r="U1006">
        <v>7.1985000000000001</v>
      </c>
      <c r="Z1006">
        <v>7.1803999999999997</v>
      </c>
      <c r="AE1006">
        <v>6.4493999999999998</v>
      </c>
      <c r="AJ1006">
        <v>5.2099000000000002</v>
      </c>
      <c r="CI1006" t="s">
        <v>113</v>
      </c>
    </row>
    <row r="1007" spans="1:87" x14ac:dyDescent="0.45">
      <c r="A1007" t="s">
        <v>24</v>
      </c>
      <c r="B1007" t="s">
        <v>5</v>
      </c>
      <c r="C1007" t="s">
        <v>46</v>
      </c>
      <c r="D1007" t="s">
        <v>114</v>
      </c>
      <c r="E1007" t="s">
        <v>26</v>
      </c>
      <c r="F1007">
        <v>13.507400000000001</v>
      </c>
      <c r="K1007">
        <v>7.0206999999999997</v>
      </c>
      <c r="P1007">
        <v>2.7126000000000001</v>
      </c>
      <c r="U1007">
        <v>1.6890000000000001</v>
      </c>
      <c r="Z1007">
        <v>1.2708999999999999</v>
      </c>
      <c r="AE1007">
        <v>1.6967000000000001</v>
      </c>
      <c r="AJ1007">
        <v>1.9285000000000001</v>
      </c>
      <c r="CI1007" t="s">
        <v>114</v>
      </c>
    </row>
    <row r="1008" spans="1:87" x14ac:dyDescent="0.45">
      <c r="A1008" t="s">
        <v>24</v>
      </c>
      <c r="B1008" t="s">
        <v>5</v>
      </c>
      <c r="C1008" t="s">
        <v>46</v>
      </c>
      <c r="D1008" t="s">
        <v>115</v>
      </c>
      <c r="E1008" t="s">
        <v>26</v>
      </c>
      <c r="F1008">
        <v>0</v>
      </c>
      <c r="K1008">
        <v>0</v>
      </c>
      <c r="P1008">
        <v>0.63680000000000003</v>
      </c>
      <c r="U1008">
        <v>0.90100000000000002</v>
      </c>
      <c r="Z1008">
        <v>1.0374000000000001</v>
      </c>
      <c r="AE1008">
        <v>1.6395</v>
      </c>
      <c r="AJ1008">
        <v>1.8806</v>
      </c>
      <c r="CI1008" t="s">
        <v>115</v>
      </c>
    </row>
    <row r="1009" spans="1:87" x14ac:dyDescent="0.45">
      <c r="A1009" t="s">
        <v>24</v>
      </c>
      <c r="B1009" t="s">
        <v>5</v>
      </c>
      <c r="C1009" t="s">
        <v>46</v>
      </c>
      <c r="D1009" t="s">
        <v>116</v>
      </c>
      <c r="E1009" t="s">
        <v>26</v>
      </c>
      <c r="F1009">
        <v>13.507400000000001</v>
      </c>
      <c r="K1009">
        <v>7.0206999999999997</v>
      </c>
      <c r="P1009">
        <v>2.0758000000000001</v>
      </c>
      <c r="U1009">
        <v>0.78810000000000002</v>
      </c>
      <c r="Z1009">
        <v>0.23350000000000001</v>
      </c>
      <c r="AE1009">
        <v>5.7200000000000001E-2</v>
      </c>
      <c r="AJ1009">
        <v>4.7899999999999998E-2</v>
      </c>
      <c r="CI1009" t="s">
        <v>116</v>
      </c>
    </row>
    <row r="1010" spans="1:87" x14ac:dyDescent="0.45">
      <c r="A1010" t="s">
        <v>24</v>
      </c>
      <c r="B1010" t="s">
        <v>5</v>
      </c>
      <c r="C1010" t="s">
        <v>46</v>
      </c>
      <c r="D1010" t="s">
        <v>117</v>
      </c>
      <c r="E1010" t="s">
        <v>26</v>
      </c>
      <c r="F1010">
        <v>67.306600000000003</v>
      </c>
      <c r="K1010">
        <v>61.4133</v>
      </c>
      <c r="P1010">
        <v>41.385399999999997</v>
      </c>
      <c r="U1010">
        <v>32.241300000000003</v>
      </c>
      <c r="Z1010">
        <v>24.755199999999999</v>
      </c>
      <c r="AE1010">
        <v>22.903300000000002</v>
      </c>
      <c r="AJ1010">
        <v>18.686900000000001</v>
      </c>
      <c r="CI1010" t="s">
        <v>117</v>
      </c>
    </row>
    <row r="1011" spans="1:87" x14ac:dyDescent="0.45">
      <c r="A1011" t="s">
        <v>24</v>
      </c>
      <c r="B1011" t="s">
        <v>5</v>
      </c>
      <c r="C1011" t="s">
        <v>46</v>
      </c>
      <c r="D1011" t="s">
        <v>118</v>
      </c>
      <c r="E1011" t="s">
        <v>26</v>
      </c>
      <c r="F1011">
        <v>0</v>
      </c>
      <c r="K1011">
        <v>0</v>
      </c>
      <c r="P1011">
        <v>1.0311999999999999</v>
      </c>
      <c r="U1011">
        <v>1.9625999999999999</v>
      </c>
      <c r="Z1011">
        <v>3.09</v>
      </c>
      <c r="AE1011">
        <v>4.8796999999999997</v>
      </c>
      <c r="AJ1011">
        <v>6.7169999999999996</v>
      </c>
      <c r="CI1011" t="s">
        <v>118</v>
      </c>
    </row>
    <row r="1012" spans="1:87" x14ac:dyDescent="0.45">
      <c r="A1012" t="s">
        <v>24</v>
      </c>
      <c r="B1012" t="s">
        <v>5</v>
      </c>
      <c r="C1012" t="s">
        <v>46</v>
      </c>
      <c r="D1012" t="s">
        <v>119</v>
      </c>
      <c r="E1012" t="s">
        <v>26</v>
      </c>
      <c r="F1012">
        <v>67.306600000000003</v>
      </c>
      <c r="K1012">
        <v>61.4133</v>
      </c>
      <c r="P1012">
        <v>40.3262</v>
      </c>
      <c r="U1012">
        <v>30.2376</v>
      </c>
      <c r="Z1012">
        <v>21.621300000000002</v>
      </c>
      <c r="AE1012">
        <v>17.989100000000001</v>
      </c>
      <c r="AJ1012">
        <v>11.97</v>
      </c>
      <c r="CI1012" t="s">
        <v>119</v>
      </c>
    </row>
    <row r="1013" spans="1:87" x14ac:dyDescent="0.45">
      <c r="A1013" t="s">
        <v>24</v>
      </c>
      <c r="B1013" t="s">
        <v>5</v>
      </c>
      <c r="C1013" t="s">
        <v>46</v>
      </c>
      <c r="D1013" t="s">
        <v>120</v>
      </c>
      <c r="E1013" t="s">
        <v>26</v>
      </c>
      <c r="F1013">
        <v>22.583500000000001</v>
      </c>
      <c r="K1013">
        <v>21.716699999999999</v>
      </c>
      <c r="P1013">
        <v>15.7721</v>
      </c>
      <c r="U1013">
        <v>11.5718</v>
      </c>
      <c r="Z1013">
        <v>8.4292999999999996</v>
      </c>
      <c r="AE1013">
        <v>9.2813999999999997</v>
      </c>
      <c r="AJ1013">
        <v>7.9233000000000002</v>
      </c>
      <c r="CI1013" t="s">
        <v>120</v>
      </c>
    </row>
    <row r="1014" spans="1:87" x14ac:dyDescent="0.45">
      <c r="A1014" t="s">
        <v>24</v>
      </c>
      <c r="B1014" t="s">
        <v>5</v>
      </c>
      <c r="C1014" t="s">
        <v>46</v>
      </c>
      <c r="D1014" t="s">
        <v>121</v>
      </c>
      <c r="E1014" t="s">
        <v>26</v>
      </c>
      <c r="F1014">
        <v>0</v>
      </c>
      <c r="K1014">
        <v>0</v>
      </c>
      <c r="P1014">
        <v>0.39439999999999997</v>
      </c>
      <c r="U1014">
        <v>1.0617000000000001</v>
      </c>
      <c r="Z1014">
        <v>2.0526</v>
      </c>
      <c r="AE1014">
        <v>3.2402000000000002</v>
      </c>
      <c r="AJ1014">
        <v>4.8364000000000003</v>
      </c>
      <c r="CI1014" t="s">
        <v>121</v>
      </c>
    </row>
    <row r="1015" spans="1:87" x14ac:dyDescent="0.45">
      <c r="A1015" t="s">
        <v>24</v>
      </c>
      <c r="B1015" t="s">
        <v>5</v>
      </c>
      <c r="C1015" t="s">
        <v>46</v>
      </c>
      <c r="D1015" t="s">
        <v>122</v>
      </c>
      <c r="E1015" t="s">
        <v>26</v>
      </c>
      <c r="F1015">
        <v>22.583500000000001</v>
      </c>
      <c r="K1015">
        <v>21.716699999999999</v>
      </c>
      <c r="P1015">
        <v>15.377700000000001</v>
      </c>
      <c r="U1015">
        <v>10.5101</v>
      </c>
      <c r="Z1015">
        <v>6.3766999999999996</v>
      </c>
      <c r="AE1015">
        <v>6.0411999999999999</v>
      </c>
      <c r="AJ1015">
        <v>3.0869</v>
      </c>
      <c r="CI1015" t="s">
        <v>122</v>
      </c>
    </row>
    <row r="1016" spans="1:87" x14ac:dyDescent="0.45">
      <c r="A1016" t="s">
        <v>24</v>
      </c>
      <c r="B1016" t="s">
        <v>5</v>
      </c>
      <c r="C1016" t="s">
        <v>46</v>
      </c>
      <c r="D1016" t="s">
        <v>123</v>
      </c>
      <c r="E1016" t="s">
        <v>26</v>
      </c>
      <c r="F1016">
        <v>8.9899999999999994E-2</v>
      </c>
      <c r="K1016">
        <v>0.1051</v>
      </c>
      <c r="P1016">
        <v>0.22850000000000001</v>
      </c>
      <c r="U1016">
        <v>0.39319999999999999</v>
      </c>
      <c r="Z1016">
        <v>0.62239999999999995</v>
      </c>
      <c r="AE1016">
        <v>0.94240000000000002</v>
      </c>
      <c r="AJ1016">
        <v>1.1445000000000001</v>
      </c>
      <c r="CI1016" t="s">
        <v>123</v>
      </c>
    </row>
    <row r="1017" spans="1:87" x14ac:dyDescent="0.45">
      <c r="A1017" t="s">
        <v>24</v>
      </c>
      <c r="B1017" t="s">
        <v>5</v>
      </c>
      <c r="C1017" t="s">
        <v>46</v>
      </c>
      <c r="D1017" t="s">
        <v>124</v>
      </c>
      <c r="E1017" t="s">
        <v>26</v>
      </c>
      <c r="F1017">
        <v>1.1473</v>
      </c>
      <c r="K1017">
        <v>1.1389</v>
      </c>
      <c r="P1017">
        <v>1.4841</v>
      </c>
      <c r="U1017">
        <v>1.32</v>
      </c>
      <c r="Z1017">
        <v>1.2554000000000001</v>
      </c>
      <c r="AE1017">
        <v>1.2795000000000001</v>
      </c>
      <c r="AJ1017">
        <v>1.2951999999999999</v>
      </c>
      <c r="CI1017" t="s">
        <v>124</v>
      </c>
    </row>
    <row r="1018" spans="1:87" x14ac:dyDescent="0.45">
      <c r="A1018" t="s">
        <v>24</v>
      </c>
      <c r="B1018" t="s">
        <v>5</v>
      </c>
      <c r="C1018" t="s">
        <v>46</v>
      </c>
      <c r="D1018" t="s">
        <v>125</v>
      </c>
      <c r="E1018" t="s">
        <v>26</v>
      </c>
      <c r="F1018">
        <v>3.0339999999999998</v>
      </c>
      <c r="K1018">
        <v>3.0931000000000002</v>
      </c>
      <c r="P1018">
        <v>3.3445</v>
      </c>
      <c r="U1018">
        <v>3.0648</v>
      </c>
      <c r="Z1018">
        <v>3.2715999999999998</v>
      </c>
      <c r="AE1018">
        <v>3.3182</v>
      </c>
      <c r="AJ1018">
        <v>3.5709</v>
      </c>
      <c r="CI1018" t="s">
        <v>125</v>
      </c>
    </row>
    <row r="1019" spans="1:87" x14ac:dyDescent="0.45">
      <c r="A1019" t="s">
        <v>24</v>
      </c>
      <c r="B1019" t="s">
        <v>5</v>
      </c>
      <c r="C1019" t="s">
        <v>46</v>
      </c>
      <c r="D1019" t="s">
        <v>126</v>
      </c>
      <c r="E1019" t="s">
        <v>26</v>
      </c>
      <c r="F1019">
        <v>31.215800000000002</v>
      </c>
      <c r="K1019">
        <v>32.675899999999999</v>
      </c>
      <c r="P1019">
        <v>22.872699999999998</v>
      </c>
      <c r="U1019">
        <v>18.939399999999999</v>
      </c>
      <c r="Z1019">
        <v>15.011100000000001</v>
      </c>
      <c r="AE1019">
        <v>11.890700000000001</v>
      </c>
      <c r="AJ1019">
        <v>8.8352000000000004</v>
      </c>
      <c r="CI1019" t="s">
        <v>126</v>
      </c>
    </row>
    <row r="1020" spans="1:87" x14ac:dyDescent="0.45">
      <c r="A1020" t="s">
        <v>24</v>
      </c>
      <c r="B1020" t="s">
        <v>5</v>
      </c>
      <c r="C1020" t="s">
        <v>46</v>
      </c>
      <c r="D1020" t="s">
        <v>127</v>
      </c>
      <c r="E1020" t="s">
        <v>26</v>
      </c>
      <c r="F1020">
        <v>31.215800000000002</v>
      </c>
      <c r="K1020">
        <v>32.675899999999999</v>
      </c>
      <c r="P1020">
        <v>22.872699999999998</v>
      </c>
      <c r="U1020">
        <v>18.939399999999999</v>
      </c>
      <c r="Z1020">
        <v>15.011100000000001</v>
      </c>
      <c r="AE1020">
        <v>11.890700000000001</v>
      </c>
      <c r="AJ1020">
        <v>8.8352000000000004</v>
      </c>
      <c r="CI1020" t="s">
        <v>127</v>
      </c>
    </row>
    <row r="1021" spans="1:87" x14ac:dyDescent="0.45">
      <c r="A1021" t="s">
        <v>24</v>
      </c>
      <c r="B1021" t="s">
        <v>5</v>
      </c>
      <c r="C1021" t="s">
        <v>46</v>
      </c>
      <c r="D1021" t="s">
        <v>128</v>
      </c>
      <c r="E1021" t="s">
        <v>26</v>
      </c>
      <c r="F1021">
        <v>0.92749999999999999</v>
      </c>
      <c r="K1021">
        <v>1.4864999999999999</v>
      </c>
      <c r="P1021">
        <v>3.6438000000000001</v>
      </c>
      <c r="U1021">
        <v>6.2705000000000002</v>
      </c>
      <c r="Z1021">
        <v>7.5075000000000003</v>
      </c>
      <c r="AE1021">
        <v>7.6692999999999998</v>
      </c>
      <c r="AJ1021">
        <v>7.6848999999999998</v>
      </c>
      <c r="CI1021" t="s">
        <v>128</v>
      </c>
    </row>
    <row r="1022" spans="1:87" x14ac:dyDescent="0.45">
      <c r="A1022" t="s">
        <v>24</v>
      </c>
      <c r="B1022" t="s">
        <v>5</v>
      </c>
      <c r="C1022" t="s">
        <v>46</v>
      </c>
      <c r="D1022" t="s">
        <v>129</v>
      </c>
      <c r="E1022" t="s">
        <v>26</v>
      </c>
      <c r="F1022">
        <v>1.4149</v>
      </c>
      <c r="K1022">
        <v>3.15</v>
      </c>
      <c r="P1022">
        <v>3.0588000000000002</v>
      </c>
      <c r="U1022">
        <v>4.5759999999999996</v>
      </c>
      <c r="Z1022">
        <v>4.5690999999999997</v>
      </c>
      <c r="AE1022">
        <v>4.6722999999999999</v>
      </c>
      <c r="AJ1022">
        <v>5.0749000000000004</v>
      </c>
      <c r="CI1022" t="s">
        <v>129</v>
      </c>
    </row>
    <row r="1023" spans="1:87" x14ac:dyDescent="0.45">
      <c r="A1023" t="s">
        <v>24</v>
      </c>
      <c r="B1023" t="s">
        <v>5</v>
      </c>
      <c r="C1023" t="s">
        <v>46</v>
      </c>
      <c r="D1023" t="s">
        <v>130</v>
      </c>
      <c r="E1023" t="s">
        <v>100</v>
      </c>
      <c r="F1023">
        <v>0</v>
      </c>
      <c r="K1023">
        <v>178.3657</v>
      </c>
      <c r="P1023">
        <v>578.01300000000003</v>
      </c>
      <c r="U1023">
        <v>527.88760000000002</v>
      </c>
      <c r="Z1023">
        <v>445.27940000000001</v>
      </c>
      <c r="AE1023">
        <v>462.77940000000001</v>
      </c>
      <c r="AJ1023">
        <v>352.37849999999997</v>
      </c>
      <c r="CI1023" t="s">
        <v>130</v>
      </c>
    </row>
    <row r="1024" spans="1:87" x14ac:dyDescent="0.45">
      <c r="A1024" t="s">
        <v>24</v>
      </c>
      <c r="B1024" t="s">
        <v>5</v>
      </c>
      <c r="C1024" t="s">
        <v>46</v>
      </c>
      <c r="D1024" t="s">
        <v>131</v>
      </c>
      <c r="E1024" t="s">
        <v>100</v>
      </c>
      <c r="F1024">
        <v>0</v>
      </c>
      <c r="K1024">
        <v>15.0679</v>
      </c>
      <c r="P1024">
        <v>51.283000000000001</v>
      </c>
      <c r="U1024">
        <v>38.171999999999997</v>
      </c>
      <c r="Z1024">
        <v>28.223400000000002</v>
      </c>
      <c r="AE1024">
        <v>23.914100000000001</v>
      </c>
      <c r="AJ1024">
        <v>24.365100000000002</v>
      </c>
      <c r="CI1024" t="s">
        <v>131</v>
      </c>
    </row>
    <row r="1025" spans="1:87" x14ac:dyDescent="0.45">
      <c r="A1025" t="s">
        <v>24</v>
      </c>
      <c r="B1025" t="s">
        <v>5</v>
      </c>
      <c r="C1025" t="s">
        <v>46</v>
      </c>
      <c r="D1025" t="s">
        <v>132</v>
      </c>
      <c r="E1025" t="s">
        <v>100</v>
      </c>
      <c r="F1025">
        <v>0</v>
      </c>
      <c r="K1025">
        <v>21.806899999999999</v>
      </c>
      <c r="P1025">
        <v>54.372100000000003</v>
      </c>
      <c r="U1025">
        <v>37.514099999999999</v>
      </c>
      <c r="Z1025">
        <v>25.177700000000002</v>
      </c>
      <c r="AE1025">
        <v>22.5044</v>
      </c>
      <c r="AJ1025">
        <v>18.317799999999998</v>
      </c>
      <c r="CI1025" t="s">
        <v>132</v>
      </c>
    </row>
    <row r="1026" spans="1:87" x14ac:dyDescent="0.45">
      <c r="A1026" t="s">
        <v>24</v>
      </c>
      <c r="B1026" t="s">
        <v>5</v>
      </c>
      <c r="C1026" t="s">
        <v>46</v>
      </c>
      <c r="D1026" t="s">
        <v>133</v>
      </c>
      <c r="E1026" t="s">
        <v>100</v>
      </c>
      <c r="F1026">
        <v>0</v>
      </c>
      <c r="K1026">
        <v>72.983000000000004</v>
      </c>
      <c r="P1026">
        <v>310.23340000000002</v>
      </c>
      <c r="U1026">
        <v>354.8655</v>
      </c>
      <c r="Z1026">
        <v>355.13799999999998</v>
      </c>
      <c r="AE1026">
        <v>411.88209999999998</v>
      </c>
      <c r="AJ1026">
        <v>318.22039999999998</v>
      </c>
      <c r="CI1026" t="s">
        <v>133</v>
      </c>
    </row>
    <row r="1027" spans="1:87" x14ac:dyDescent="0.45">
      <c r="A1027" t="s">
        <v>24</v>
      </c>
      <c r="B1027" t="s">
        <v>5</v>
      </c>
      <c r="C1027" t="s">
        <v>46</v>
      </c>
      <c r="D1027" t="s">
        <v>134</v>
      </c>
      <c r="E1027" t="s">
        <v>100</v>
      </c>
      <c r="F1027">
        <v>0</v>
      </c>
      <c r="K1027">
        <v>68.507800000000003</v>
      </c>
      <c r="P1027">
        <v>162.12440000000001</v>
      </c>
      <c r="U1027">
        <v>97.335999999999999</v>
      </c>
      <c r="Z1027">
        <v>36.740200000000002</v>
      </c>
      <c r="AE1027">
        <v>4.4787999999999997</v>
      </c>
      <c r="AJ1027">
        <v>-8.5248000000000008</v>
      </c>
      <c r="CI1027" t="s">
        <v>134</v>
      </c>
    </row>
    <row r="1028" spans="1:87" x14ac:dyDescent="0.45">
      <c r="A1028" t="s">
        <v>24</v>
      </c>
      <c r="B1028" t="s">
        <v>5</v>
      </c>
      <c r="C1028" t="s">
        <v>46</v>
      </c>
      <c r="D1028" t="s">
        <v>135</v>
      </c>
      <c r="E1028" t="s">
        <v>26</v>
      </c>
      <c r="F1028">
        <v>4.7724000000000002</v>
      </c>
      <c r="K1028">
        <v>2.4546000000000001</v>
      </c>
      <c r="P1028">
        <v>0.64800000000000002</v>
      </c>
      <c r="U1028">
        <v>0.22869999999999999</v>
      </c>
      <c r="Z1028">
        <v>7.6899999999999996E-2</v>
      </c>
      <c r="AE1028">
        <v>3.3700000000000001E-2</v>
      </c>
      <c r="AJ1028">
        <v>3.8800000000000001E-2</v>
      </c>
      <c r="CI1028" t="s">
        <v>135</v>
      </c>
    </row>
    <row r="1029" spans="1:87" x14ac:dyDescent="0.45">
      <c r="A1029" t="s">
        <v>24</v>
      </c>
      <c r="B1029" t="s">
        <v>5</v>
      </c>
      <c r="C1029" t="s">
        <v>46</v>
      </c>
      <c r="D1029" t="s">
        <v>136</v>
      </c>
      <c r="E1029" t="s">
        <v>26</v>
      </c>
      <c r="F1029">
        <v>4.3834</v>
      </c>
      <c r="K1029">
        <v>6.1940999999999997</v>
      </c>
      <c r="P1029">
        <v>4.7972000000000001</v>
      </c>
      <c r="U1029">
        <v>2.7637999999999998</v>
      </c>
      <c r="Z1029">
        <v>1.1355</v>
      </c>
      <c r="AE1029">
        <v>1.6249</v>
      </c>
      <c r="AJ1029">
        <v>2.3856999999999999</v>
      </c>
      <c r="CI1029" t="s">
        <v>136</v>
      </c>
    </row>
    <row r="1030" spans="1:87" x14ac:dyDescent="0.45">
      <c r="A1030" t="s">
        <v>24</v>
      </c>
      <c r="B1030" t="s">
        <v>5</v>
      </c>
      <c r="C1030" t="s">
        <v>46</v>
      </c>
      <c r="D1030" t="s">
        <v>137</v>
      </c>
      <c r="E1030" t="s">
        <v>26</v>
      </c>
      <c r="F1030">
        <v>5.6500000000000002E-2</v>
      </c>
      <c r="K1030">
        <v>7.5499999999999998E-2</v>
      </c>
      <c r="P1030">
        <v>0.17510000000000001</v>
      </c>
      <c r="U1030">
        <v>0.3201</v>
      </c>
      <c r="Z1030">
        <v>0.53200000000000003</v>
      </c>
      <c r="AE1030">
        <v>0.84660000000000002</v>
      </c>
      <c r="AJ1030">
        <v>1.0615000000000001</v>
      </c>
      <c r="CI1030" t="s">
        <v>137</v>
      </c>
    </row>
    <row r="1031" spans="1:87" x14ac:dyDescent="0.45">
      <c r="A1031" t="s">
        <v>24</v>
      </c>
      <c r="B1031" t="s">
        <v>5</v>
      </c>
      <c r="C1031" t="s">
        <v>46</v>
      </c>
      <c r="D1031" t="s">
        <v>138</v>
      </c>
      <c r="E1031" t="s">
        <v>26</v>
      </c>
      <c r="F1031">
        <v>1.1473</v>
      </c>
      <c r="K1031">
        <v>1.1389</v>
      </c>
      <c r="P1031">
        <v>1.4841</v>
      </c>
      <c r="U1031">
        <v>1.5254000000000001</v>
      </c>
      <c r="Z1031">
        <v>1.5651999999999999</v>
      </c>
      <c r="AE1031">
        <v>1.5955999999999999</v>
      </c>
      <c r="AJ1031">
        <v>1.5410999999999999</v>
      </c>
      <c r="CI1031" t="s">
        <v>138</v>
      </c>
    </row>
    <row r="1032" spans="1:87" x14ac:dyDescent="0.45">
      <c r="A1032" t="s">
        <v>24</v>
      </c>
      <c r="B1032" t="s">
        <v>5</v>
      </c>
      <c r="C1032" t="s">
        <v>46</v>
      </c>
      <c r="D1032" t="s">
        <v>139</v>
      </c>
      <c r="E1032" t="s">
        <v>26</v>
      </c>
      <c r="F1032">
        <v>3.0303</v>
      </c>
      <c r="K1032">
        <v>3.0846</v>
      </c>
      <c r="P1032">
        <v>3.3227000000000002</v>
      </c>
      <c r="U1032">
        <v>3.0274000000000001</v>
      </c>
      <c r="Z1032">
        <v>3.2199</v>
      </c>
      <c r="AE1032">
        <v>3.2768999999999999</v>
      </c>
      <c r="AJ1032">
        <v>3.5377999999999998</v>
      </c>
      <c r="CI1032" t="s">
        <v>139</v>
      </c>
    </row>
    <row r="1033" spans="1:87" x14ac:dyDescent="0.45">
      <c r="A1033" t="s">
        <v>24</v>
      </c>
      <c r="B1033" t="s">
        <v>5</v>
      </c>
      <c r="C1033" t="s">
        <v>46</v>
      </c>
      <c r="D1033" t="s">
        <v>140</v>
      </c>
      <c r="E1033" t="s">
        <v>26</v>
      </c>
      <c r="F1033">
        <v>0.67410000000000003</v>
      </c>
      <c r="K1033">
        <v>0.5978</v>
      </c>
      <c r="P1033">
        <v>0.16309999999999999</v>
      </c>
      <c r="U1033">
        <v>0</v>
      </c>
      <c r="Z1033">
        <v>0</v>
      </c>
      <c r="AE1033">
        <v>0</v>
      </c>
      <c r="AJ1033">
        <v>0</v>
      </c>
      <c r="CI1033" t="s">
        <v>140</v>
      </c>
    </row>
    <row r="1034" spans="1:87" x14ac:dyDescent="0.45">
      <c r="A1034" t="s">
        <v>24</v>
      </c>
      <c r="B1034" t="s">
        <v>5</v>
      </c>
      <c r="C1034" t="s">
        <v>46</v>
      </c>
      <c r="D1034" t="s">
        <v>141</v>
      </c>
      <c r="E1034" t="s">
        <v>26</v>
      </c>
      <c r="F1034">
        <v>0.73050000000000004</v>
      </c>
      <c r="K1034">
        <v>0.64880000000000004</v>
      </c>
      <c r="P1034">
        <v>3.4222000000000001</v>
      </c>
      <c r="U1034">
        <v>5.5180999999999996</v>
      </c>
      <c r="Z1034">
        <v>6.3373999999999997</v>
      </c>
      <c r="AE1034">
        <v>6.0290999999999997</v>
      </c>
      <c r="AJ1034">
        <v>6.0659000000000001</v>
      </c>
      <c r="CI1034" t="s">
        <v>141</v>
      </c>
    </row>
    <row r="1035" spans="1:87" x14ac:dyDescent="0.45">
      <c r="A1035" t="s">
        <v>24</v>
      </c>
      <c r="B1035" t="s">
        <v>5</v>
      </c>
      <c r="C1035" t="s">
        <v>46</v>
      </c>
      <c r="D1035" t="s">
        <v>142</v>
      </c>
      <c r="E1035" t="s">
        <v>26</v>
      </c>
      <c r="F1035">
        <v>2.7645</v>
      </c>
      <c r="K1035">
        <v>2.6255999999999999</v>
      </c>
      <c r="P1035">
        <v>3.4346999999999999</v>
      </c>
      <c r="U1035">
        <v>4.1456</v>
      </c>
      <c r="Z1035">
        <v>3.6476000000000002</v>
      </c>
      <c r="AE1035">
        <v>3.7621000000000002</v>
      </c>
      <c r="AJ1035">
        <v>4.4044999999999996</v>
      </c>
      <c r="CI1035" t="s">
        <v>142</v>
      </c>
    </row>
    <row r="1036" spans="1:87" x14ac:dyDescent="0.45">
      <c r="A1036" t="s">
        <v>24</v>
      </c>
      <c r="B1036" t="s">
        <v>5</v>
      </c>
      <c r="C1036" t="s">
        <v>46</v>
      </c>
      <c r="D1036" t="s">
        <v>143</v>
      </c>
      <c r="E1036" t="s">
        <v>26</v>
      </c>
      <c r="F1036">
        <v>1.4149</v>
      </c>
      <c r="K1036">
        <v>3.15</v>
      </c>
      <c r="P1036">
        <v>3.0588000000000002</v>
      </c>
      <c r="U1036">
        <v>4.6973000000000003</v>
      </c>
      <c r="Z1036">
        <v>4.7816000000000001</v>
      </c>
      <c r="AE1036">
        <v>5.0046999999999997</v>
      </c>
      <c r="AJ1036">
        <v>5.4134000000000002</v>
      </c>
      <c r="CI1036" t="s">
        <v>143</v>
      </c>
    </row>
    <row r="1037" spans="1:87" x14ac:dyDescent="0.45">
      <c r="A1037" t="s">
        <v>24</v>
      </c>
      <c r="B1037" t="s">
        <v>5</v>
      </c>
      <c r="C1037" t="s">
        <v>46</v>
      </c>
      <c r="D1037" t="s">
        <v>144</v>
      </c>
      <c r="E1037" t="s">
        <v>26</v>
      </c>
      <c r="F1037">
        <v>19.755400000000002</v>
      </c>
      <c r="K1037">
        <v>18.3842</v>
      </c>
      <c r="P1037">
        <v>13.0677</v>
      </c>
      <c r="U1037">
        <v>9.2142999999999997</v>
      </c>
      <c r="Z1037">
        <v>6.7518000000000002</v>
      </c>
      <c r="AE1037">
        <v>7.0808999999999997</v>
      </c>
      <c r="AJ1037">
        <v>5.4561000000000002</v>
      </c>
      <c r="CI1037" t="s">
        <v>144</v>
      </c>
    </row>
    <row r="1038" spans="1:87" x14ac:dyDescent="0.45">
      <c r="A1038" t="s">
        <v>24</v>
      </c>
      <c r="B1038" t="s">
        <v>5</v>
      </c>
      <c r="C1038" t="s">
        <v>46</v>
      </c>
      <c r="D1038" t="s">
        <v>209</v>
      </c>
      <c r="E1038" t="s">
        <v>26</v>
      </c>
      <c r="F1038">
        <v>0</v>
      </c>
      <c r="K1038">
        <v>0</v>
      </c>
      <c r="P1038">
        <v>0</v>
      </c>
      <c r="U1038">
        <v>0</v>
      </c>
      <c r="Z1038">
        <v>1.34E-2</v>
      </c>
      <c r="AE1038">
        <v>7.8600000000000003E-2</v>
      </c>
      <c r="AJ1038">
        <v>0.14299999999999999</v>
      </c>
      <c r="CI1038" t="s">
        <v>209</v>
      </c>
    </row>
    <row r="1039" spans="1:87" x14ac:dyDescent="0.45">
      <c r="A1039" t="s">
        <v>24</v>
      </c>
      <c r="B1039" t="s">
        <v>5</v>
      </c>
      <c r="C1039" t="s">
        <v>46</v>
      </c>
      <c r="D1039" t="s">
        <v>145</v>
      </c>
      <c r="E1039" t="s">
        <v>26</v>
      </c>
      <c r="F1039">
        <v>19.755400000000002</v>
      </c>
      <c r="K1039">
        <v>18.3842</v>
      </c>
      <c r="P1039">
        <v>13.0677</v>
      </c>
      <c r="U1039">
        <v>9.5968</v>
      </c>
      <c r="Z1039">
        <v>7.3220999999999998</v>
      </c>
      <c r="AE1039">
        <v>8.0107999999999997</v>
      </c>
      <c r="AJ1039">
        <v>6.2118000000000002</v>
      </c>
      <c r="CI1039" t="s">
        <v>145</v>
      </c>
    </row>
    <row r="1040" spans="1:87" x14ac:dyDescent="0.45">
      <c r="A1040" t="s">
        <v>24</v>
      </c>
      <c r="B1040" t="s">
        <v>5</v>
      </c>
      <c r="C1040" t="s">
        <v>46</v>
      </c>
      <c r="D1040" t="s">
        <v>146</v>
      </c>
      <c r="E1040" t="s">
        <v>26</v>
      </c>
      <c r="F1040">
        <v>0</v>
      </c>
      <c r="K1040">
        <v>0</v>
      </c>
      <c r="P1040">
        <v>0</v>
      </c>
      <c r="U1040">
        <v>0</v>
      </c>
      <c r="Z1040">
        <v>0</v>
      </c>
      <c r="AE1040">
        <v>0</v>
      </c>
      <c r="AJ1040">
        <v>0.34710000000000002</v>
      </c>
      <c r="CI1040" t="s">
        <v>146</v>
      </c>
    </row>
    <row r="1041" spans="1:87" x14ac:dyDescent="0.45">
      <c r="A1041" t="s">
        <v>24</v>
      </c>
      <c r="B1041" t="s">
        <v>5</v>
      </c>
      <c r="C1041" t="s">
        <v>46</v>
      </c>
      <c r="D1041" t="s">
        <v>147</v>
      </c>
      <c r="E1041" t="s">
        <v>26</v>
      </c>
      <c r="F1041">
        <v>0.32179999999999997</v>
      </c>
      <c r="K1041">
        <v>0.38440000000000002</v>
      </c>
      <c r="P1041">
        <v>0.51019999999999999</v>
      </c>
      <c r="U1041">
        <v>0.59899999999999998</v>
      </c>
      <c r="Z1041">
        <v>0.62019999999999997</v>
      </c>
      <c r="AE1041">
        <v>0.59689999999999999</v>
      </c>
      <c r="AJ1041">
        <v>0.56620000000000004</v>
      </c>
      <c r="CI1041" t="s">
        <v>147</v>
      </c>
    </row>
    <row r="1042" spans="1:87" x14ac:dyDescent="0.45">
      <c r="A1042" t="s">
        <v>24</v>
      </c>
      <c r="B1042" t="s">
        <v>5</v>
      </c>
      <c r="C1042" t="s">
        <v>46</v>
      </c>
      <c r="D1042" t="s">
        <v>148</v>
      </c>
      <c r="E1042" t="s">
        <v>26</v>
      </c>
      <c r="F1042">
        <v>0.13120000000000001</v>
      </c>
      <c r="K1042">
        <v>0.1258</v>
      </c>
      <c r="P1042">
        <v>0.42899999999999999</v>
      </c>
      <c r="U1042">
        <v>0.87960000000000005</v>
      </c>
      <c r="Z1042">
        <v>1.2337</v>
      </c>
      <c r="AE1042">
        <v>1.76</v>
      </c>
      <c r="AJ1042">
        <v>2.2824</v>
      </c>
      <c r="CI1042" t="s">
        <v>148</v>
      </c>
    </row>
    <row r="1043" spans="1:87" x14ac:dyDescent="0.45">
      <c r="A1043" t="s">
        <v>24</v>
      </c>
      <c r="B1043" t="s">
        <v>5</v>
      </c>
      <c r="C1043" t="s">
        <v>46</v>
      </c>
      <c r="D1043" t="s">
        <v>149</v>
      </c>
      <c r="E1043" t="s">
        <v>26</v>
      </c>
      <c r="F1043">
        <v>28.146799999999999</v>
      </c>
      <c r="K1043">
        <v>24.261900000000001</v>
      </c>
      <c r="P1043">
        <v>19.353899999999999</v>
      </c>
      <c r="U1043">
        <v>14.772500000000001</v>
      </c>
      <c r="Z1043">
        <v>11.724</v>
      </c>
      <c r="AE1043">
        <v>8.8698999999999995</v>
      </c>
      <c r="AJ1043">
        <v>6.4972000000000003</v>
      </c>
      <c r="CI1043" t="s">
        <v>149</v>
      </c>
    </row>
    <row r="1044" spans="1:87" x14ac:dyDescent="0.45">
      <c r="A1044" t="s">
        <v>24</v>
      </c>
      <c r="B1044" t="s">
        <v>5</v>
      </c>
      <c r="C1044" t="s">
        <v>46</v>
      </c>
      <c r="D1044" t="s">
        <v>150</v>
      </c>
      <c r="E1044" t="s">
        <v>26</v>
      </c>
      <c r="F1044">
        <v>2.6798999999999999</v>
      </c>
      <c r="K1044">
        <v>2.4594</v>
      </c>
      <c r="P1044">
        <v>3.0966999999999998</v>
      </c>
      <c r="U1044">
        <v>2.6057000000000001</v>
      </c>
      <c r="Z1044">
        <v>2.5137</v>
      </c>
      <c r="AE1044">
        <v>2.2004999999999999</v>
      </c>
      <c r="AJ1044">
        <v>1.5749</v>
      </c>
      <c r="CI1044" t="s">
        <v>150</v>
      </c>
    </row>
    <row r="1045" spans="1:87" x14ac:dyDescent="0.45">
      <c r="A1045" t="s">
        <v>24</v>
      </c>
      <c r="B1045" t="s">
        <v>5</v>
      </c>
      <c r="C1045" t="s">
        <v>46</v>
      </c>
      <c r="D1045" t="s">
        <v>151</v>
      </c>
      <c r="E1045" t="s">
        <v>26</v>
      </c>
      <c r="F1045">
        <v>6.4000000000000003E-3</v>
      </c>
      <c r="K1045">
        <v>0</v>
      </c>
      <c r="P1045">
        <v>0</v>
      </c>
      <c r="U1045">
        <v>0</v>
      </c>
      <c r="Z1045">
        <v>0</v>
      </c>
      <c r="AE1045">
        <v>0</v>
      </c>
      <c r="AJ1045">
        <v>0</v>
      </c>
      <c r="CI1045" t="s">
        <v>151</v>
      </c>
    </row>
    <row r="1046" spans="1:87" x14ac:dyDescent="0.45">
      <c r="A1046" t="s">
        <v>24</v>
      </c>
      <c r="B1046" t="s">
        <v>5</v>
      </c>
      <c r="C1046" t="s">
        <v>46</v>
      </c>
      <c r="D1046" t="s">
        <v>152</v>
      </c>
      <c r="E1046" t="s">
        <v>26</v>
      </c>
      <c r="F1046">
        <v>25.460599999999999</v>
      </c>
      <c r="K1046">
        <v>21.802499999999998</v>
      </c>
      <c r="P1046">
        <v>16.257200000000001</v>
      </c>
      <c r="U1046">
        <v>12.428100000000001</v>
      </c>
      <c r="Z1046">
        <v>9.6852</v>
      </c>
      <c r="AE1046">
        <v>7.2030000000000003</v>
      </c>
      <c r="AJ1046">
        <v>5.4046000000000003</v>
      </c>
      <c r="CI1046" t="s">
        <v>152</v>
      </c>
    </row>
    <row r="1047" spans="1:87" x14ac:dyDescent="0.45">
      <c r="A1047" t="s">
        <v>24</v>
      </c>
      <c r="B1047" t="s">
        <v>5</v>
      </c>
      <c r="C1047" t="s">
        <v>46</v>
      </c>
      <c r="D1047" t="s">
        <v>153</v>
      </c>
      <c r="E1047" t="s">
        <v>26</v>
      </c>
      <c r="F1047">
        <v>1.0388999999999999</v>
      </c>
      <c r="K1047">
        <v>1.3673999999999999</v>
      </c>
      <c r="P1047">
        <v>0.81469999999999998</v>
      </c>
      <c r="U1047">
        <v>0.68230000000000002</v>
      </c>
      <c r="Z1047">
        <v>0.81789999999999996</v>
      </c>
      <c r="AE1047">
        <v>0.90620000000000001</v>
      </c>
      <c r="AJ1047">
        <v>0.91059999999999997</v>
      </c>
      <c r="CI1047" t="s">
        <v>153</v>
      </c>
    </row>
    <row r="1048" spans="1:87" x14ac:dyDescent="0.45">
      <c r="A1048" t="s">
        <v>24</v>
      </c>
      <c r="B1048" t="s">
        <v>5</v>
      </c>
      <c r="C1048" t="s">
        <v>46</v>
      </c>
      <c r="D1048" t="s">
        <v>154</v>
      </c>
      <c r="E1048" t="s">
        <v>26</v>
      </c>
      <c r="F1048">
        <v>0.22770000000000001</v>
      </c>
      <c r="K1048">
        <v>0.48949999999999999</v>
      </c>
      <c r="P1048">
        <v>0.41660000000000003</v>
      </c>
      <c r="U1048">
        <v>0.53949999999999998</v>
      </c>
      <c r="Z1048">
        <v>0.74929999999999997</v>
      </c>
      <c r="AE1048">
        <v>0.84919999999999995</v>
      </c>
      <c r="AJ1048">
        <v>0.86280000000000001</v>
      </c>
      <c r="CI1048" t="s">
        <v>154</v>
      </c>
    </row>
    <row r="1049" spans="1:87" x14ac:dyDescent="0.45">
      <c r="A1049" t="s">
        <v>24</v>
      </c>
      <c r="B1049" t="s">
        <v>5</v>
      </c>
      <c r="C1049" t="s">
        <v>46</v>
      </c>
      <c r="D1049" t="s">
        <v>155</v>
      </c>
      <c r="E1049" t="s">
        <v>26</v>
      </c>
      <c r="F1049">
        <v>0.81120000000000003</v>
      </c>
      <c r="K1049">
        <v>0.87790000000000001</v>
      </c>
      <c r="P1049">
        <v>0.39810000000000001</v>
      </c>
      <c r="U1049">
        <v>0.14280000000000001</v>
      </c>
      <c r="Z1049">
        <v>6.8599999999999994E-2</v>
      </c>
      <c r="AE1049">
        <v>5.7000000000000002E-2</v>
      </c>
      <c r="AJ1049">
        <v>4.7699999999999999E-2</v>
      </c>
      <c r="CI1049" t="s">
        <v>155</v>
      </c>
    </row>
    <row r="1050" spans="1:87" x14ac:dyDescent="0.45">
      <c r="A1050" t="s">
        <v>24</v>
      </c>
      <c r="B1050" t="s">
        <v>5</v>
      </c>
      <c r="C1050" t="s">
        <v>46</v>
      </c>
      <c r="D1050" t="s">
        <v>156</v>
      </c>
      <c r="E1050" t="s">
        <v>48</v>
      </c>
      <c r="F1050">
        <v>80.593900000000005</v>
      </c>
      <c r="K1050">
        <v>69.313100000000006</v>
      </c>
      <c r="P1050">
        <v>54.206099999999999</v>
      </c>
      <c r="U1050">
        <v>2.8296999999999999</v>
      </c>
      <c r="Z1050">
        <v>-34.755299999999998</v>
      </c>
      <c r="AE1050">
        <v>-57.462800000000001</v>
      </c>
      <c r="AJ1050">
        <v>-53.205800000000004</v>
      </c>
      <c r="CI1050" t="s">
        <v>156</v>
      </c>
    </row>
    <row r="1051" spans="1:87" x14ac:dyDescent="0.45">
      <c r="A1051" t="s">
        <v>24</v>
      </c>
      <c r="B1051" t="s">
        <v>5</v>
      </c>
      <c r="C1051" t="s">
        <v>46</v>
      </c>
      <c r="D1051" t="s">
        <v>157</v>
      </c>
      <c r="E1051" t="s">
        <v>48</v>
      </c>
      <c r="F1051">
        <v>87.019400000000005</v>
      </c>
      <c r="K1051">
        <v>65.814499999999995</v>
      </c>
      <c r="P1051">
        <v>32.031199999999998</v>
      </c>
      <c r="U1051">
        <v>17.937100000000001</v>
      </c>
      <c r="Z1051">
        <v>8.6713000000000005</v>
      </c>
      <c r="AE1051">
        <v>3.3856000000000002</v>
      </c>
      <c r="CI1051" t="s">
        <v>157</v>
      </c>
    </row>
    <row r="1052" spans="1:87" x14ac:dyDescent="0.45">
      <c r="A1052" t="s">
        <v>24</v>
      </c>
      <c r="B1052" t="s">
        <v>5</v>
      </c>
      <c r="C1052" t="s">
        <v>46</v>
      </c>
      <c r="D1052" t="s">
        <v>158</v>
      </c>
      <c r="E1052" t="s">
        <v>48</v>
      </c>
      <c r="F1052">
        <v>6.8491</v>
      </c>
      <c r="K1052">
        <v>5.7076000000000002</v>
      </c>
      <c r="P1052">
        <v>4.5660999999999996</v>
      </c>
      <c r="U1052">
        <v>3.4245999999999999</v>
      </c>
      <c r="Z1052">
        <v>2.2829999999999999</v>
      </c>
      <c r="AE1052">
        <v>1.1415</v>
      </c>
      <c r="CI1052" t="s">
        <v>158</v>
      </c>
    </row>
    <row r="1053" spans="1:87" x14ac:dyDescent="0.45">
      <c r="A1053" t="s">
        <v>24</v>
      </c>
      <c r="B1053" t="s">
        <v>5</v>
      </c>
      <c r="C1053" t="s">
        <v>46</v>
      </c>
      <c r="D1053" t="s">
        <v>159</v>
      </c>
      <c r="E1053" t="s">
        <v>48</v>
      </c>
      <c r="F1053">
        <v>34.7941</v>
      </c>
      <c r="K1053">
        <v>34.7941</v>
      </c>
      <c r="P1053">
        <v>34.7941</v>
      </c>
      <c r="U1053">
        <v>34.7941</v>
      </c>
      <c r="Z1053">
        <v>34.7941</v>
      </c>
      <c r="AE1053">
        <v>34.7941</v>
      </c>
      <c r="AJ1053">
        <v>34.7941</v>
      </c>
      <c r="CI1053" t="s">
        <v>159</v>
      </c>
    </row>
    <row r="1054" spans="1:87" x14ac:dyDescent="0.45">
      <c r="A1054" t="s">
        <v>24</v>
      </c>
      <c r="B1054" t="s">
        <v>5</v>
      </c>
      <c r="C1054" t="s">
        <v>46</v>
      </c>
      <c r="D1054" t="s">
        <v>160</v>
      </c>
      <c r="E1054" t="s">
        <v>66</v>
      </c>
      <c r="F1054">
        <v>4.1596000000000002</v>
      </c>
      <c r="K1054">
        <v>3.4664000000000001</v>
      </c>
      <c r="P1054">
        <v>2.7730999999999999</v>
      </c>
      <c r="U1054">
        <v>2.0798000000000001</v>
      </c>
      <c r="Z1054">
        <v>1.3865000000000001</v>
      </c>
      <c r="AE1054">
        <v>0.69330000000000003</v>
      </c>
      <c r="CI1054" t="s">
        <v>160</v>
      </c>
    </row>
    <row r="1055" spans="1:87" x14ac:dyDescent="0.45">
      <c r="A1055" t="s">
        <v>24</v>
      </c>
      <c r="B1055" t="s">
        <v>5</v>
      </c>
      <c r="C1055" t="s">
        <v>46</v>
      </c>
      <c r="D1055" t="s">
        <v>161</v>
      </c>
      <c r="E1055" t="s">
        <v>26</v>
      </c>
      <c r="F1055">
        <v>-1.4371</v>
      </c>
      <c r="K1055">
        <v>-1.1133999999999999</v>
      </c>
      <c r="P1055">
        <v>-0.13619999999999999</v>
      </c>
      <c r="U1055">
        <v>0.3962</v>
      </c>
      <c r="Z1055">
        <v>0.49480000000000002</v>
      </c>
      <c r="AE1055">
        <v>0.26100000000000001</v>
      </c>
      <c r="AJ1055">
        <v>0</v>
      </c>
      <c r="CI1055" t="s">
        <v>161</v>
      </c>
    </row>
    <row r="1056" spans="1:87" x14ac:dyDescent="0.45">
      <c r="A1056" t="s">
        <v>24</v>
      </c>
      <c r="B1056" t="s">
        <v>5</v>
      </c>
      <c r="C1056" t="s">
        <v>46</v>
      </c>
      <c r="D1056" t="s">
        <v>162</v>
      </c>
      <c r="E1056" t="s">
        <v>26</v>
      </c>
      <c r="F1056">
        <v>-0.28770000000000001</v>
      </c>
      <c r="K1056">
        <v>-0.23799999999999999</v>
      </c>
      <c r="P1056">
        <v>-0.22969999999999999</v>
      </c>
      <c r="U1056">
        <v>-0.15190000000000001</v>
      </c>
      <c r="Z1056">
        <v>-0.10100000000000001</v>
      </c>
      <c r="AE1056">
        <v>-4.5400000000000003E-2</v>
      </c>
      <c r="CI1056" t="s">
        <v>162</v>
      </c>
    </row>
    <row r="1057" spans="1:87" x14ac:dyDescent="0.45">
      <c r="A1057" t="s">
        <v>24</v>
      </c>
      <c r="B1057" t="s">
        <v>5</v>
      </c>
      <c r="C1057" t="s">
        <v>46</v>
      </c>
      <c r="D1057" t="s">
        <v>163</v>
      </c>
      <c r="E1057" t="s">
        <v>26</v>
      </c>
      <c r="F1057">
        <v>-0.49270000000000003</v>
      </c>
      <c r="K1057">
        <v>-0.21340000000000001</v>
      </c>
      <c r="P1057">
        <v>-5.0500000000000003E-2</v>
      </c>
      <c r="U1057">
        <v>-1.44E-2</v>
      </c>
      <c r="Z1057">
        <v>-2.8E-3</v>
      </c>
      <c r="AE1057">
        <v>-2.9999999999999997E-4</v>
      </c>
      <c r="AJ1057">
        <v>0</v>
      </c>
      <c r="CI1057" t="s">
        <v>163</v>
      </c>
    </row>
    <row r="1058" spans="1:87" x14ac:dyDescent="0.45">
      <c r="A1058" t="s">
        <v>24</v>
      </c>
      <c r="B1058" t="s">
        <v>5</v>
      </c>
      <c r="C1058" t="s">
        <v>46</v>
      </c>
      <c r="D1058" t="s">
        <v>164</v>
      </c>
      <c r="E1058" t="s">
        <v>26</v>
      </c>
      <c r="F1058">
        <v>-0.49270000000000003</v>
      </c>
      <c r="K1058">
        <v>-0.21340000000000001</v>
      </c>
      <c r="P1058">
        <v>-5.0500000000000003E-2</v>
      </c>
      <c r="U1058">
        <v>-1.44E-2</v>
      </c>
      <c r="Z1058">
        <v>-2.8E-3</v>
      </c>
      <c r="AE1058">
        <v>-2.9999999999999997E-4</v>
      </c>
      <c r="CI1058" t="s">
        <v>164</v>
      </c>
    </row>
    <row r="1059" spans="1:87" x14ac:dyDescent="0.45">
      <c r="A1059" t="s">
        <v>24</v>
      </c>
      <c r="B1059" t="s">
        <v>5</v>
      </c>
      <c r="C1059" t="s">
        <v>46</v>
      </c>
      <c r="D1059" t="s">
        <v>165</v>
      </c>
      <c r="E1059" t="s">
        <v>26</v>
      </c>
      <c r="F1059">
        <v>0.40389999999999998</v>
      </c>
      <c r="K1059">
        <v>0.33189999999999997</v>
      </c>
      <c r="P1059">
        <v>0.2069</v>
      </c>
      <c r="U1059">
        <v>-0.60899999999999999</v>
      </c>
      <c r="Z1059">
        <v>-1.2343</v>
      </c>
      <c r="AE1059">
        <v>-1.7646999999999999</v>
      </c>
      <c r="AJ1059">
        <v>-1.8599000000000001</v>
      </c>
      <c r="CI1059" t="s">
        <v>165</v>
      </c>
    </row>
    <row r="1060" spans="1:87" x14ac:dyDescent="0.45">
      <c r="A1060" t="s">
        <v>24</v>
      </c>
      <c r="B1060" t="s">
        <v>5</v>
      </c>
      <c r="C1060" t="s">
        <v>46</v>
      </c>
      <c r="D1060" t="s">
        <v>166</v>
      </c>
      <c r="E1060" t="s">
        <v>26</v>
      </c>
      <c r="P1060">
        <v>0</v>
      </c>
      <c r="U1060">
        <v>-3.2599999999999997E-2</v>
      </c>
      <c r="Z1060">
        <v>-0.13950000000000001</v>
      </c>
      <c r="AE1060">
        <v>-0.3322</v>
      </c>
      <c r="AJ1060">
        <v>-0.66720000000000002</v>
      </c>
      <c r="CI1060" t="s">
        <v>166</v>
      </c>
    </row>
    <row r="1061" spans="1:87" x14ac:dyDescent="0.45">
      <c r="A1061" t="s">
        <v>24</v>
      </c>
      <c r="B1061" t="s">
        <v>5</v>
      </c>
      <c r="C1061" t="s">
        <v>46</v>
      </c>
      <c r="D1061" t="s">
        <v>167</v>
      </c>
      <c r="E1061" t="s">
        <v>26</v>
      </c>
      <c r="F1061">
        <v>0.40389999999999998</v>
      </c>
      <c r="K1061">
        <v>0.33189999999999997</v>
      </c>
      <c r="P1061">
        <v>0.2051</v>
      </c>
      <c r="U1061">
        <v>-0.58299999999999996</v>
      </c>
      <c r="Z1061">
        <v>-1.1035999999999999</v>
      </c>
      <c r="AE1061">
        <v>-1.4379999999999999</v>
      </c>
      <c r="AJ1061">
        <v>-1.1928000000000001</v>
      </c>
      <c r="CI1061" t="s">
        <v>167</v>
      </c>
    </row>
    <row r="1062" spans="1:87" x14ac:dyDescent="0.45">
      <c r="A1062" t="s">
        <v>24</v>
      </c>
      <c r="B1062" t="s">
        <v>5</v>
      </c>
      <c r="C1062" t="s">
        <v>46</v>
      </c>
      <c r="D1062" t="s">
        <v>168</v>
      </c>
      <c r="E1062" t="s">
        <v>26</v>
      </c>
      <c r="F1062">
        <v>-1.0132000000000001</v>
      </c>
      <c r="K1062">
        <v>-0.81189999999999996</v>
      </c>
      <c r="P1062">
        <v>-0.45989999999999998</v>
      </c>
      <c r="U1062">
        <v>-0.23580000000000001</v>
      </c>
      <c r="Z1062">
        <v>-9.5399999999999999E-2</v>
      </c>
      <c r="AE1062">
        <v>-4.5199999999999997E-2</v>
      </c>
      <c r="AJ1062">
        <v>0</v>
      </c>
      <c r="CI1062" t="s">
        <v>168</v>
      </c>
    </row>
    <row r="1063" spans="1:87" x14ac:dyDescent="0.45">
      <c r="A1063" t="s">
        <v>24</v>
      </c>
      <c r="B1063" t="s">
        <v>5</v>
      </c>
      <c r="C1063" t="s">
        <v>46</v>
      </c>
      <c r="D1063" t="s">
        <v>169</v>
      </c>
      <c r="E1063" t="s">
        <v>26</v>
      </c>
      <c r="F1063">
        <v>-1.0132000000000001</v>
      </c>
      <c r="K1063">
        <v>-0.81189999999999996</v>
      </c>
      <c r="P1063">
        <v>-0.45989999999999998</v>
      </c>
      <c r="U1063">
        <v>-0.23580000000000001</v>
      </c>
      <c r="Z1063">
        <v>-9.5399999999999999E-2</v>
      </c>
      <c r="AE1063">
        <v>-4.5199999999999997E-2</v>
      </c>
      <c r="CI1063" t="s">
        <v>169</v>
      </c>
    </row>
    <row r="1064" spans="1:87" x14ac:dyDescent="0.45">
      <c r="A1064" t="s">
        <v>24</v>
      </c>
      <c r="B1064" t="s">
        <v>5</v>
      </c>
      <c r="C1064" t="s">
        <v>46</v>
      </c>
      <c r="D1064" t="s">
        <v>170</v>
      </c>
      <c r="E1064" t="s">
        <v>26</v>
      </c>
      <c r="F1064">
        <v>1.1900000000000001E-2</v>
      </c>
      <c r="K1064">
        <v>1.1599999999999999E-2</v>
      </c>
      <c r="P1064">
        <v>2.01E-2</v>
      </c>
      <c r="U1064">
        <v>2.5999999999999999E-2</v>
      </c>
      <c r="Z1064">
        <v>2.7400000000000001E-2</v>
      </c>
      <c r="AE1064">
        <v>2.0799999999999999E-2</v>
      </c>
      <c r="CI1064" t="s">
        <v>170</v>
      </c>
    </row>
    <row r="1065" spans="1:87" x14ac:dyDescent="0.45">
      <c r="A1065" t="s">
        <v>24</v>
      </c>
      <c r="B1065" t="s">
        <v>5</v>
      </c>
      <c r="C1065" t="s">
        <v>46</v>
      </c>
      <c r="D1065" t="s">
        <v>171</v>
      </c>
      <c r="E1065" t="s">
        <v>26</v>
      </c>
      <c r="F1065">
        <v>-0.1459</v>
      </c>
      <c r="K1065">
        <v>-0.1207</v>
      </c>
      <c r="P1065">
        <v>-0.1258</v>
      </c>
      <c r="U1065">
        <v>-8.3900000000000002E-2</v>
      </c>
      <c r="Z1065">
        <v>-5.3199999999999997E-2</v>
      </c>
      <c r="AE1065">
        <v>-2.7099999999999999E-2</v>
      </c>
      <c r="CI1065" t="s">
        <v>171</v>
      </c>
    </row>
    <row r="1066" spans="1:87" x14ac:dyDescent="0.45">
      <c r="A1066" t="s">
        <v>24</v>
      </c>
      <c r="B1066" t="s">
        <v>5</v>
      </c>
      <c r="C1066" t="s">
        <v>46</v>
      </c>
      <c r="D1066" t="s">
        <v>172</v>
      </c>
      <c r="E1066" t="s">
        <v>26</v>
      </c>
      <c r="F1066">
        <v>-4.3099999999999999E-2</v>
      </c>
      <c r="K1066">
        <v>-3.6600000000000001E-2</v>
      </c>
      <c r="P1066">
        <v>-3.1699999999999999E-2</v>
      </c>
      <c r="U1066">
        <v>-2.18E-2</v>
      </c>
      <c r="Z1066">
        <v>-1.55E-2</v>
      </c>
      <c r="AE1066">
        <v>-7.9000000000000008E-3</v>
      </c>
      <c r="CI1066" t="s">
        <v>172</v>
      </c>
    </row>
    <row r="1067" spans="1:87" x14ac:dyDescent="0.45">
      <c r="A1067" t="s">
        <v>24</v>
      </c>
      <c r="B1067" t="s">
        <v>5</v>
      </c>
      <c r="C1067" t="s">
        <v>46</v>
      </c>
      <c r="D1067" t="s">
        <v>173</v>
      </c>
      <c r="E1067" t="s">
        <v>26</v>
      </c>
      <c r="F1067">
        <v>0.50349999999999995</v>
      </c>
      <c r="K1067">
        <v>0.43919999999999998</v>
      </c>
      <c r="P1067">
        <v>0.24590000000000001</v>
      </c>
      <c r="U1067">
        <v>0.1527</v>
      </c>
      <c r="Z1067">
        <v>8.0699999999999994E-2</v>
      </c>
      <c r="AE1067">
        <v>3.2000000000000001E-2</v>
      </c>
      <c r="CI1067" t="s">
        <v>173</v>
      </c>
    </row>
    <row r="1068" spans="1:87" x14ac:dyDescent="0.45">
      <c r="A1068" t="s">
        <v>24</v>
      </c>
      <c r="B1068" t="s">
        <v>5</v>
      </c>
      <c r="C1068" t="s">
        <v>46</v>
      </c>
      <c r="D1068" t="s">
        <v>174</v>
      </c>
      <c r="E1068" t="s">
        <v>26</v>
      </c>
      <c r="F1068">
        <v>0.50349999999999995</v>
      </c>
      <c r="K1068">
        <v>0.43919999999999998</v>
      </c>
      <c r="P1068">
        <v>0.24590000000000001</v>
      </c>
      <c r="U1068">
        <v>0.1527</v>
      </c>
      <c r="Z1068">
        <v>8.0699999999999994E-2</v>
      </c>
      <c r="AE1068">
        <v>3.2000000000000001E-2</v>
      </c>
      <c r="CI1068" t="s">
        <v>174</v>
      </c>
    </row>
    <row r="1069" spans="1:87" x14ac:dyDescent="0.45">
      <c r="A1069" t="s">
        <v>24</v>
      </c>
      <c r="B1069" t="s">
        <v>5</v>
      </c>
      <c r="C1069" t="s">
        <v>46</v>
      </c>
      <c r="D1069" t="s">
        <v>175</v>
      </c>
      <c r="E1069" t="s">
        <v>26</v>
      </c>
      <c r="F1069">
        <v>0.38369999999999999</v>
      </c>
      <c r="K1069">
        <v>0.51249999999999996</v>
      </c>
      <c r="P1069">
        <v>1.0049999999999999</v>
      </c>
      <c r="U1069">
        <v>1.2969999999999999</v>
      </c>
      <c r="Z1069">
        <v>1.0353000000000001</v>
      </c>
      <c r="AE1069">
        <v>0.52880000000000005</v>
      </c>
      <c r="CI1069" t="s">
        <v>175</v>
      </c>
    </row>
    <row r="1070" spans="1:87" x14ac:dyDescent="0.45">
      <c r="A1070" t="s">
        <v>24</v>
      </c>
      <c r="B1070" t="s">
        <v>5</v>
      </c>
      <c r="C1070" t="s">
        <v>46</v>
      </c>
      <c r="D1070" t="s">
        <v>176</v>
      </c>
      <c r="E1070" t="s">
        <v>26</v>
      </c>
      <c r="F1070">
        <v>-0.35360000000000003</v>
      </c>
      <c r="K1070">
        <v>-0.65610000000000002</v>
      </c>
      <c r="P1070">
        <v>-0.50970000000000004</v>
      </c>
      <c r="U1070">
        <v>-0.57179999999999997</v>
      </c>
      <c r="Z1070">
        <v>-0.38069999999999998</v>
      </c>
      <c r="AE1070">
        <v>-0.1946</v>
      </c>
      <c r="CI1070" t="s">
        <v>176</v>
      </c>
    </row>
    <row r="1071" spans="1:87" x14ac:dyDescent="0.45">
      <c r="A1071" t="s">
        <v>24</v>
      </c>
      <c r="B1071" t="s">
        <v>5</v>
      </c>
      <c r="C1071" t="s">
        <v>46</v>
      </c>
      <c r="D1071" t="s">
        <v>177</v>
      </c>
      <c r="E1071" t="s">
        <v>26</v>
      </c>
      <c r="F1071">
        <v>-1.4643999999999999</v>
      </c>
      <c r="K1071">
        <v>-1.6890000000000001</v>
      </c>
      <c r="P1071">
        <v>-2.0406</v>
      </c>
      <c r="U1071">
        <v>-2.1229</v>
      </c>
      <c r="Z1071">
        <v>-1.4810000000000001</v>
      </c>
      <c r="AE1071">
        <v>-0.74070000000000003</v>
      </c>
      <c r="AJ1071">
        <v>-5.7200000000000001E-2</v>
      </c>
      <c r="CI1071" t="s">
        <v>177</v>
      </c>
    </row>
    <row r="1072" spans="1:87" x14ac:dyDescent="0.45">
      <c r="A1072" t="s">
        <v>24</v>
      </c>
      <c r="B1072" t="s">
        <v>5</v>
      </c>
      <c r="C1072" t="s">
        <v>46</v>
      </c>
      <c r="D1072" t="s">
        <v>178</v>
      </c>
      <c r="E1072" t="s">
        <v>26</v>
      </c>
      <c r="F1072">
        <v>-0.34350000000000003</v>
      </c>
      <c r="K1072">
        <v>-0.30259999999999998</v>
      </c>
      <c r="P1072">
        <v>-0.15590000000000001</v>
      </c>
      <c r="U1072">
        <v>-9.4600000000000004E-2</v>
      </c>
      <c r="Z1072">
        <v>-5.6099999999999997E-2</v>
      </c>
      <c r="AE1072">
        <v>-1.46E-2</v>
      </c>
      <c r="CI1072" t="s">
        <v>178</v>
      </c>
    </row>
    <row r="1073" spans="1:87" x14ac:dyDescent="0.45">
      <c r="A1073" t="s">
        <v>24</v>
      </c>
      <c r="B1073" t="s">
        <v>5</v>
      </c>
      <c r="C1073" t="s">
        <v>46</v>
      </c>
      <c r="D1073" t="s">
        <v>179</v>
      </c>
      <c r="E1073" t="s">
        <v>26</v>
      </c>
      <c r="F1073">
        <v>0.15049999999999999</v>
      </c>
      <c r="K1073">
        <v>6.4500000000000002E-2</v>
      </c>
      <c r="P1073">
        <v>1.3599999999999999E-2</v>
      </c>
      <c r="U1073">
        <v>3.5999999999999999E-3</v>
      </c>
      <c r="Z1073">
        <v>8.0000000000000004E-4</v>
      </c>
      <c r="AE1073">
        <v>2.0000000000000001E-4</v>
      </c>
      <c r="CI1073" t="s">
        <v>179</v>
      </c>
    </row>
    <row r="1074" spans="1:87" x14ac:dyDescent="0.45">
      <c r="A1074" t="s">
        <v>24</v>
      </c>
      <c r="B1074" t="s">
        <v>5</v>
      </c>
      <c r="C1074" t="s">
        <v>46</v>
      </c>
      <c r="D1074" t="s">
        <v>180</v>
      </c>
      <c r="E1074" t="s">
        <v>26</v>
      </c>
      <c r="F1074">
        <v>-0.30049999999999999</v>
      </c>
      <c r="K1074">
        <v>-0.3538</v>
      </c>
      <c r="P1074">
        <v>-0.21920000000000001</v>
      </c>
      <c r="U1074">
        <v>-9.4700000000000006E-2</v>
      </c>
      <c r="Z1074">
        <v>-2.5899999999999999E-2</v>
      </c>
      <c r="AE1074">
        <v>-1.8599999999999998E-2</v>
      </c>
      <c r="CI1074" t="s">
        <v>180</v>
      </c>
    </row>
    <row r="1075" spans="1:87" x14ac:dyDescent="0.45">
      <c r="A1075" t="s">
        <v>24</v>
      </c>
      <c r="B1075" t="s">
        <v>5</v>
      </c>
      <c r="C1075" t="s">
        <v>46</v>
      </c>
      <c r="D1075" t="s">
        <v>181</v>
      </c>
      <c r="E1075" t="s">
        <v>26</v>
      </c>
      <c r="F1075">
        <v>1.7500000000000002E-2</v>
      </c>
      <c r="K1075">
        <v>1.9400000000000001E-2</v>
      </c>
      <c r="P1075">
        <v>3.5999999999999997E-2</v>
      </c>
      <c r="U1075">
        <v>4.9399999999999999E-2</v>
      </c>
      <c r="Z1075">
        <v>5.4800000000000001E-2</v>
      </c>
      <c r="AE1075">
        <v>4.36E-2</v>
      </c>
      <c r="CI1075" t="s">
        <v>181</v>
      </c>
    </row>
    <row r="1076" spans="1:87" x14ac:dyDescent="0.45">
      <c r="A1076" t="s">
        <v>24</v>
      </c>
      <c r="B1076" t="s">
        <v>5</v>
      </c>
      <c r="C1076" t="s">
        <v>46</v>
      </c>
      <c r="D1076" t="s">
        <v>182</v>
      </c>
      <c r="E1076" t="s">
        <v>26</v>
      </c>
      <c r="F1076">
        <v>-0.1459</v>
      </c>
      <c r="K1076">
        <v>-0.1207</v>
      </c>
      <c r="P1076">
        <v>-0.1258</v>
      </c>
      <c r="U1076">
        <v>-9.7000000000000003E-2</v>
      </c>
      <c r="Z1076">
        <v>-6.6299999999999998E-2</v>
      </c>
      <c r="AE1076">
        <v>-3.3799999999999997E-2</v>
      </c>
      <c r="CI1076" t="s">
        <v>182</v>
      </c>
    </row>
    <row r="1077" spans="1:87" x14ac:dyDescent="0.45">
      <c r="A1077" t="s">
        <v>24</v>
      </c>
      <c r="B1077" t="s">
        <v>5</v>
      </c>
      <c r="C1077" t="s">
        <v>46</v>
      </c>
      <c r="D1077" t="s">
        <v>183</v>
      </c>
      <c r="E1077" t="s">
        <v>26</v>
      </c>
      <c r="F1077">
        <v>-4.6699999999999998E-2</v>
      </c>
      <c r="K1077">
        <v>-3.9600000000000003E-2</v>
      </c>
      <c r="P1077">
        <v>-3.4099999999999998E-2</v>
      </c>
      <c r="U1077">
        <v>-2.3300000000000001E-2</v>
      </c>
      <c r="Z1077">
        <v>-1.6500000000000001E-2</v>
      </c>
      <c r="AE1077">
        <v>-8.3999999999999995E-3</v>
      </c>
      <c r="CI1077" t="s">
        <v>183</v>
      </c>
    </row>
    <row r="1078" spans="1:87" x14ac:dyDescent="0.45">
      <c r="A1078" t="s">
        <v>24</v>
      </c>
      <c r="B1078" t="s">
        <v>5</v>
      </c>
      <c r="C1078" t="s">
        <v>46</v>
      </c>
      <c r="D1078" t="s">
        <v>184</v>
      </c>
      <c r="E1078" t="s">
        <v>26</v>
      </c>
      <c r="F1078">
        <v>-5.6099999999999997E-2</v>
      </c>
      <c r="K1078">
        <v>-4.1500000000000002E-2</v>
      </c>
      <c r="P1078">
        <v>-9.1000000000000004E-3</v>
      </c>
      <c r="CI1078" t="s">
        <v>184</v>
      </c>
    </row>
    <row r="1079" spans="1:87" x14ac:dyDescent="0.45">
      <c r="A1079" t="s">
        <v>24</v>
      </c>
      <c r="B1079" t="s">
        <v>5</v>
      </c>
      <c r="C1079" t="s">
        <v>46</v>
      </c>
      <c r="D1079" t="s">
        <v>185</v>
      </c>
      <c r="E1079" t="s">
        <v>26</v>
      </c>
      <c r="F1079">
        <v>-0.3483</v>
      </c>
      <c r="K1079">
        <v>-0.25779999999999997</v>
      </c>
      <c r="P1079">
        <v>-1.0879000000000001</v>
      </c>
      <c r="U1079">
        <v>-1.3157000000000001</v>
      </c>
      <c r="Z1079">
        <v>-1.0073000000000001</v>
      </c>
      <c r="AE1079">
        <v>-0.47920000000000001</v>
      </c>
      <c r="CI1079" t="s">
        <v>185</v>
      </c>
    </row>
    <row r="1080" spans="1:87" x14ac:dyDescent="0.45">
      <c r="A1080" t="s">
        <v>24</v>
      </c>
      <c r="B1080" t="s">
        <v>5</v>
      </c>
      <c r="C1080" t="s">
        <v>46</v>
      </c>
      <c r="D1080" t="s">
        <v>186</v>
      </c>
      <c r="E1080" t="s">
        <v>26</v>
      </c>
      <c r="F1080">
        <v>-0.35360000000000003</v>
      </c>
      <c r="K1080">
        <v>-0.65610000000000002</v>
      </c>
      <c r="P1080">
        <v>-0.50970000000000004</v>
      </c>
      <c r="U1080">
        <v>-0.58699999999999997</v>
      </c>
      <c r="Z1080">
        <v>-0.39839999999999998</v>
      </c>
      <c r="AE1080">
        <v>-0.20849999999999999</v>
      </c>
      <c r="CI1080" t="s">
        <v>186</v>
      </c>
    </row>
    <row r="1081" spans="1:87" x14ac:dyDescent="0.45">
      <c r="A1081" t="s">
        <v>24</v>
      </c>
      <c r="B1081" t="s">
        <v>5</v>
      </c>
      <c r="C1081" t="s">
        <v>46</v>
      </c>
      <c r="D1081" t="s">
        <v>187</v>
      </c>
      <c r="E1081" t="s">
        <v>26</v>
      </c>
      <c r="F1081">
        <v>0</v>
      </c>
      <c r="K1081">
        <v>0</v>
      </c>
      <c r="P1081">
        <v>-1.2715000000000001</v>
      </c>
      <c r="U1081">
        <v>-1.0702</v>
      </c>
      <c r="Z1081">
        <v>-1.7632000000000001</v>
      </c>
      <c r="AE1081">
        <v>-1.7897000000000001</v>
      </c>
      <c r="AJ1081">
        <v>-1.1532</v>
      </c>
      <c r="CI1081" t="s">
        <v>187</v>
      </c>
    </row>
    <row r="1082" spans="1:87" x14ac:dyDescent="0.45">
      <c r="A1082" t="s">
        <v>24</v>
      </c>
      <c r="B1082" t="s">
        <v>5</v>
      </c>
      <c r="C1082" t="s">
        <v>46</v>
      </c>
      <c r="D1082" t="s">
        <v>188</v>
      </c>
      <c r="E1082" t="s">
        <v>26</v>
      </c>
      <c r="F1082">
        <v>0</v>
      </c>
      <c r="K1082">
        <v>0</v>
      </c>
      <c r="P1082">
        <v>0.30909999999999999</v>
      </c>
      <c r="U1082">
        <v>0.72270000000000001</v>
      </c>
      <c r="Z1082">
        <v>0.72030000000000005</v>
      </c>
      <c r="AE1082">
        <v>0.70679999999999998</v>
      </c>
      <c r="AJ1082">
        <v>0.70069999999999999</v>
      </c>
      <c r="CI1082" t="s">
        <v>188</v>
      </c>
    </row>
    <row r="1083" spans="1:87" x14ac:dyDescent="0.45">
      <c r="A1083" t="s">
        <v>24</v>
      </c>
      <c r="B1083" t="s">
        <v>5</v>
      </c>
      <c r="C1083" t="s">
        <v>46</v>
      </c>
      <c r="D1083" t="s">
        <v>189</v>
      </c>
      <c r="E1083" t="s">
        <v>26</v>
      </c>
      <c r="F1083">
        <v>-0.30330000000000001</v>
      </c>
      <c r="K1083">
        <v>-0.48670000000000002</v>
      </c>
      <c r="P1083">
        <v>-0.1351</v>
      </c>
      <c r="U1083">
        <v>0.109</v>
      </c>
      <c r="Z1083">
        <v>4.1700000000000001E-2</v>
      </c>
      <c r="AE1083">
        <v>0</v>
      </c>
      <c r="AJ1083">
        <v>0</v>
      </c>
      <c r="CI1083" t="s">
        <v>189</v>
      </c>
    </row>
    <row r="1084" spans="1:87" x14ac:dyDescent="0.45">
      <c r="A1084" t="s">
        <v>24</v>
      </c>
      <c r="B1084" t="s">
        <v>5</v>
      </c>
      <c r="C1084" t="s">
        <v>46</v>
      </c>
      <c r="D1084" t="s">
        <v>190</v>
      </c>
      <c r="E1084" t="s">
        <v>26</v>
      </c>
      <c r="F1084">
        <v>-8.6298999999999992</v>
      </c>
      <c r="K1084">
        <v>-6.6767000000000003</v>
      </c>
      <c r="P1084">
        <v>-4.8893000000000004</v>
      </c>
      <c r="U1084">
        <v>-3.5413999999999999</v>
      </c>
      <c r="Z1084">
        <v>-2.5118999999999998</v>
      </c>
      <c r="AE1084">
        <v>-1.7924</v>
      </c>
      <c r="AJ1084">
        <v>-1.2034</v>
      </c>
      <c r="CI1084" t="s">
        <v>190</v>
      </c>
    </row>
    <row r="1085" spans="1:87" x14ac:dyDescent="0.45">
      <c r="A1085" t="s">
        <v>24</v>
      </c>
      <c r="B1085" t="s">
        <v>5</v>
      </c>
      <c r="C1085" t="s">
        <v>46</v>
      </c>
      <c r="D1085" t="s">
        <v>191</v>
      </c>
      <c r="E1085" t="s">
        <v>26</v>
      </c>
      <c r="F1085">
        <v>68.18880004104372</v>
      </c>
      <c r="K1085">
        <v>67.951124192014504</v>
      </c>
      <c r="P1085">
        <v>58.278618749889041</v>
      </c>
      <c r="U1085">
        <v>53.817289933683298</v>
      </c>
      <c r="Z1085">
        <v>49.683155193363838</v>
      </c>
      <c r="AE1085">
        <v>48.417405175580967</v>
      </c>
      <c r="AJ1085">
        <v>47.046420000931789</v>
      </c>
      <c r="CI1085" t="s">
        <v>191</v>
      </c>
    </row>
    <row r="1086" spans="1:87" x14ac:dyDescent="0.45">
      <c r="A1086" t="s">
        <v>24</v>
      </c>
      <c r="B1086" t="s">
        <v>5</v>
      </c>
      <c r="C1086" t="s">
        <v>46</v>
      </c>
      <c r="D1086" t="s">
        <v>192</v>
      </c>
      <c r="E1086" t="s">
        <v>26</v>
      </c>
      <c r="F1086">
        <v>14.84434508290583</v>
      </c>
      <c r="K1086">
        <v>13.39745016264745</v>
      </c>
      <c r="P1086">
        <v>13.778835426261731</v>
      </c>
      <c r="U1086">
        <v>11.70538500655071</v>
      </c>
      <c r="Z1086">
        <v>9.6805250201608519</v>
      </c>
      <c r="AE1086">
        <v>7.920829997525189</v>
      </c>
      <c r="AJ1086">
        <v>6.865705000128334</v>
      </c>
      <c r="CI1086" t="s">
        <v>192</v>
      </c>
    </row>
    <row r="1087" spans="1:87" x14ac:dyDescent="0.45">
      <c r="A1087" t="s">
        <v>24</v>
      </c>
      <c r="B1087" t="s">
        <v>5</v>
      </c>
      <c r="C1087" t="s">
        <v>46</v>
      </c>
      <c r="D1087" t="s">
        <v>193</v>
      </c>
      <c r="E1087" t="s">
        <v>26</v>
      </c>
      <c r="F1087">
        <v>2.444040031717122</v>
      </c>
      <c r="K1087">
        <v>2.5455599942660112</v>
      </c>
      <c r="P1087">
        <v>2.439239992741792</v>
      </c>
      <c r="U1087">
        <v>2.3630400006719339</v>
      </c>
      <c r="Z1087">
        <v>2.267039997947677</v>
      </c>
      <c r="AE1087">
        <v>2.1253200010560729</v>
      </c>
      <c r="AJ1087">
        <v>1.955400000028426</v>
      </c>
      <c r="CI1087" t="s">
        <v>193</v>
      </c>
    </row>
    <row r="1088" spans="1:87" x14ac:dyDescent="0.45">
      <c r="A1088" t="s">
        <v>24</v>
      </c>
      <c r="B1088" t="s">
        <v>5</v>
      </c>
      <c r="C1088" t="s">
        <v>46</v>
      </c>
      <c r="D1088" t="s">
        <v>194</v>
      </c>
      <c r="E1088" t="s">
        <v>26</v>
      </c>
      <c r="F1088">
        <v>6.6413549172452804</v>
      </c>
      <c r="K1088">
        <v>4.2907201154235963</v>
      </c>
      <c r="P1088">
        <v>3.3034049725439871</v>
      </c>
      <c r="U1088">
        <v>2.449755000840367</v>
      </c>
      <c r="Z1088">
        <v>1.659105000068736</v>
      </c>
      <c r="AE1088">
        <v>0.86793000178901991</v>
      </c>
      <c r="AJ1088">
        <v>0.52027500000974158</v>
      </c>
      <c r="CI1088" t="s">
        <v>194</v>
      </c>
    </row>
    <row r="1089" spans="1:87" x14ac:dyDescent="0.45">
      <c r="A1089" t="s">
        <v>24</v>
      </c>
      <c r="B1089" t="s">
        <v>5</v>
      </c>
      <c r="C1089" t="s">
        <v>46</v>
      </c>
      <c r="D1089" t="s">
        <v>195</v>
      </c>
      <c r="E1089" t="s">
        <v>26</v>
      </c>
      <c r="F1089">
        <v>2.589234782135464E-8</v>
      </c>
      <c r="K1089">
        <v>0.112090002789627</v>
      </c>
      <c r="P1089">
        <v>0.26036999199562061</v>
      </c>
      <c r="U1089">
        <v>0.44748000424111462</v>
      </c>
      <c r="Z1089">
        <v>0.38357000116866402</v>
      </c>
      <c r="AE1089">
        <v>0.2212099988972564</v>
      </c>
      <c r="AJ1089">
        <v>0.1014200000216071</v>
      </c>
      <c r="CI1089" t="s">
        <v>195</v>
      </c>
    </row>
    <row r="1090" spans="1:87" x14ac:dyDescent="0.45">
      <c r="A1090" t="s">
        <v>24</v>
      </c>
      <c r="B1090" t="s">
        <v>5</v>
      </c>
      <c r="C1090" t="s">
        <v>46</v>
      </c>
      <c r="D1090" t="s">
        <v>196</v>
      </c>
      <c r="E1090" t="s">
        <v>26</v>
      </c>
      <c r="F1090">
        <v>1.5470646985704659E-9</v>
      </c>
      <c r="K1090">
        <v>8.3709997597567407E-2</v>
      </c>
      <c r="P1090">
        <v>0.1441000169776423</v>
      </c>
      <c r="U1090">
        <v>0.13145000019020259</v>
      </c>
      <c r="Z1090">
        <v>0.11264000052788239</v>
      </c>
      <c r="AE1090">
        <v>9.9659999957108503E-2</v>
      </c>
      <c r="AJ1090">
        <v>8.8660000001843001E-2</v>
      </c>
      <c r="CI1090" t="s">
        <v>196</v>
      </c>
    </row>
    <row r="1091" spans="1:87" x14ac:dyDescent="0.45">
      <c r="A1091" t="s">
        <v>24</v>
      </c>
      <c r="B1091" t="s">
        <v>5</v>
      </c>
      <c r="C1091" t="s">
        <v>46</v>
      </c>
      <c r="D1091" t="s">
        <v>197</v>
      </c>
      <c r="E1091" t="s">
        <v>26</v>
      </c>
      <c r="F1091">
        <v>4.8432000365355634</v>
      </c>
      <c r="K1091">
        <v>5.1465000579503482</v>
      </c>
      <c r="P1091">
        <v>6.4871004441039304</v>
      </c>
      <c r="U1091">
        <v>5.2818999973598046</v>
      </c>
      <c r="Z1091">
        <v>4.4020000218004043</v>
      </c>
      <c r="AE1091">
        <v>3.8066999937720851</v>
      </c>
      <c r="AJ1091">
        <v>3.3904000000695311</v>
      </c>
      <c r="CI1091" t="s">
        <v>197</v>
      </c>
    </row>
    <row r="1092" spans="1:87" x14ac:dyDescent="0.45">
      <c r="A1092" t="s">
        <v>24</v>
      </c>
      <c r="B1092" t="s">
        <v>5</v>
      </c>
      <c r="C1092" t="s">
        <v>46</v>
      </c>
      <c r="D1092" t="s">
        <v>198</v>
      </c>
      <c r="E1092" t="s">
        <v>26</v>
      </c>
      <c r="F1092">
        <v>0.91575006996845321</v>
      </c>
      <c r="K1092">
        <v>1.218869994620299</v>
      </c>
      <c r="P1092">
        <v>1.1446200078987609</v>
      </c>
      <c r="U1092">
        <v>1.0317600032472909</v>
      </c>
      <c r="Z1092">
        <v>0.85616999864748777</v>
      </c>
      <c r="AE1092">
        <v>0.80001000205364559</v>
      </c>
      <c r="AJ1092">
        <v>0.8095499999971858</v>
      </c>
      <c r="CI1092" t="s">
        <v>198</v>
      </c>
    </row>
    <row r="1093" spans="1:87" x14ac:dyDescent="0.45">
      <c r="A1093" t="s">
        <v>24</v>
      </c>
      <c r="B1093" t="s">
        <v>5</v>
      </c>
      <c r="C1093" t="s">
        <v>46</v>
      </c>
      <c r="D1093" t="s">
        <v>199</v>
      </c>
      <c r="E1093" t="s">
        <v>26</v>
      </c>
      <c r="F1093">
        <v>27.89445493561691</v>
      </c>
      <c r="K1093">
        <v>28.577574457301282</v>
      </c>
      <c r="P1093">
        <v>21.758098905559009</v>
      </c>
      <c r="U1093">
        <v>19.69056496958866</v>
      </c>
      <c r="Z1093">
        <v>17.831860061595311</v>
      </c>
      <c r="AE1093">
        <v>16.660879988864131</v>
      </c>
      <c r="AJ1093">
        <v>15.279875000112909</v>
      </c>
      <c r="CI1093" t="s">
        <v>199</v>
      </c>
    </row>
    <row r="1094" spans="1:87" x14ac:dyDescent="0.45">
      <c r="A1094" t="s">
        <v>24</v>
      </c>
      <c r="B1094" t="s">
        <v>5</v>
      </c>
      <c r="C1094" t="s">
        <v>46</v>
      </c>
      <c r="D1094" t="s">
        <v>200</v>
      </c>
      <c r="E1094" t="s">
        <v>26</v>
      </c>
      <c r="F1094">
        <v>17.685750004161999</v>
      </c>
      <c r="K1094">
        <v>19.642049782441401</v>
      </c>
      <c r="P1094">
        <v>17.501399589170319</v>
      </c>
      <c r="U1094">
        <v>17.31000000727321</v>
      </c>
      <c r="Z1094">
        <v>16.39545000064933</v>
      </c>
      <c r="AE1094">
        <v>15.49349998758162</v>
      </c>
      <c r="AJ1094">
        <v>14.117250000102921</v>
      </c>
      <c r="CI1094" t="s">
        <v>200</v>
      </c>
    </row>
    <row r="1095" spans="1:87" x14ac:dyDescent="0.45">
      <c r="A1095" t="s">
        <v>24</v>
      </c>
      <c r="B1095" t="s">
        <v>5</v>
      </c>
      <c r="C1095" t="s">
        <v>46</v>
      </c>
      <c r="D1095" t="s">
        <v>201</v>
      </c>
      <c r="E1095" t="s">
        <v>26</v>
      </c>
      <c r="F1095">
        <v>6.7516049866295589</v>
      </c>
      <c r="K1095">
        <v>5.5098749285217252</v>
      </c>
      <c r="P1095">
        <v>2.7213896168539118</v>
      </c>
      <c r="U1095">
        <v>1.422224976857507</v>
      </c>
      <c r="Z1095">
        <v>0.47775005468656673</v>
      </c>
      <c r="AE1095">
        <v>0.13545000140792141</v>
      </c>
      <c r="AJ1095">
        <v>4.0005000011673203E-2</v>
      </c>
      <c r="CI1095" t="s">
        <v>201</v>
      </c>
    </row>
    <row r="1096" spans="1:87" x14ac:dyDescent="0.45">
      <c r="A1096" t="s">
        <v>24</v>
      </c>
      <c r="B1096" t="s">
        <v>5</v>
      </c>
      <c r="C1096" t="s">
        <v>46</v>
      </c>
      <c r="D1096" t="s">
        <v>202</v>
      </c>
      <c r="E1096" t="s">
        <v>26</v>
      </c>
      <c r="F1096">
        <v>0.40039999991486752</v>
      </c>
      <c r="K1096">
        <v>0.3206500068297195</v>
      </c>
      <c r="P1096">
        <v>0.33341001354775202</v>
      </c>
      <c r="U1096">
        <v>0.28204000319869849</v>
      </c>
      <c r="Z1096">
        <v>0.41316000200217218</v>
      </c>
      <c r="AE1096">
        <v>0.56792999986545289</v>
      </c>
      <c r="AJ1096">
        <v>0.72951999998831085</v>
      </c>
      <c r="CI1096" t="s">
        <v>202</v>
      </c>
    </row>
    <row r="1097" spans="1:87" x14ac:dyDescent="0.45">
      <c r="A1097" t="s">
        <v>24</v>
      </c>
      <c r="B1097" t="s">
        <v>5</v>
      </c>
      <c r="C1097" t="s">
        <v>46</v>
      </c>
      <c r="D1097" t="s">
        <v>203</v>
      </c>
      <c r="E1097" t="s">
        <v>26</v>
      </c>
      <c r="F1097">
        <v>3.0566999440625291</v>
      </c>
      <c r="K1097">
        <v>3.104999739508429</v>
      </c>
      <c r="P1097">
        <v>1.2018996859870299</v>
      </c>
      <c r="U1097">
        <v>0.67629998225924481</v>
      </c>
      <c r="Z1097">
        <v>0.5455000042572351</v>
      </c>
      <c r="AE1097">
        <v>0.46400000000914038</v>
      </c>
      <c r="AJ1097">
        <v>0.393100000010005</v>
      </c>
      <c r="CI1097" t="s">
        <v>203</v>
      </c>
    </row>
    <row r="1098" spans="1:87" x14ac:dyDescent="0.45">
      <c r="A1098" t="s">
        <v>24</v>
      </c>
      <c r="B1098" t="s">
        <v>5</v>
      </c>
      <c r="C1098" t="s">
        <v>46</v>
      </c>
      <c r="D1098" t="s">
        <v>204</v>
      </c>
      <c r="E1098" t="s">
        <v>26</v>
      </c>
      <c r="F1098">
        <v>8.4795104271506716E-10</v>
      </c>
      <c r="K1098">
        <v>0</v>
      </c>
      <c r="P1098">
        <v>0</v>
      </c>
      <c r="U1098">
        <v>0</v>
      </c>
      <c r="Z1098">
        <v>0</v>
      </c>
      <c r="AE1098">
        <v>0</v>
      </c>
      <c r="AJ1098">
        <v>0</v>
      </c>
      <c r="CI1098" t="s">
        <v>204</v>
      </c>
    </row>
    <row r="1099" spans="1:87" x14ac:dyDescent="0.45">
      <c r="A1099" t="s">
        <v>24</v>
      </c>
      <c r="B1099" t="s">
        <v>5</v>
      </c>
      <c r="C1099" t="s">
        <v>46</v>
      </c>
      <c r="D1099" t="s">
        <v>205</v>
      </c>
      <c r="E1099" t="s">
        <v>26</v>
      </c>
      <c r="F1099">
        <v>25.450000022520971</v>
      </c>
      <c r="K1099">
        <v>25.97609957206577</v>
      </c>
      <c r="P1099">
        <v>22.741684418068289</v>
      </c>
      <c r="U1099">
        <v>22.421339957543928</v>
      </c>
      <c r="Z1099">
        <v>22.170770111607681</v>
      </c>
      <c r="AE1099">
        <v>23.83569518919165</v>
      </c>
      <c r="AJ1099">
        <v>24.90084000069054</v>
      </c>
      <c r="CI1099" t="s">
        <v>205</v>
      </c>
    </row>
    <row r="1100" spans="1:87" x14ac:dyDescent="0.45">
      <c r="A1100" t="s">
        <v>24</v>
      </c>
      <c r="B1100" t="s">
        <v>5</v>
      </c>
      <c r="C1100" t="s">
        <v>46</v>
      </c>
      <c r="D1100" t="s">
        <v>206</v>
      </c>
      <c r="E1100" t="s">
        <v>26</v>
      </c>
      <c r="F1100">
        <v>9.3199997891041095E-2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206</v>
      </c>
    </row>
    <row r="1101" spans="1:87" x14ac:dyDescent="0.45">
      <c r="A1101" t="s">
        <v>24</v>
      </c>
      <c r="B1101" t="s">
        <v>5</v>
      </c>
      <c r="C1101" t="s">
        <v>46</v>
      </c>
      <c r="D1101" t="s">
        <v>207</v>
      </c>
      <c r="E1101" t="s">
        <v>26</v>
      </c>
      <c r="F1101">
        <v>2.042247615463566E-8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207</v>
      </c>
    </row>
    <row r="1102" spans="1:87" x14ac:dyDescent="0.45">
      <c r="A1102" t="s">
        <v>24</v>
      </c>
      <c r="B1102" t="s">
        <v>5</v>
      </c>
      <c r="C1102" t="s">
        <v>46</v>
      </c>
      <c r="D1102" t="s">
        <v>211</v>
      </c>
      <c r="E1102" t="s">
        <v>26</v>
      </c>
      <c r="F1102">
        <v>0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211</v>
      </c>
    </row>
    <row r="1103" spans="1:87" x14ac:dyDescent="0.45">
      <c r="A1103" t="s">
        <v>24</v>
      </c>
      <c r="B1103" t="s">
        <v>5</v>
      </c>
      <c r="C1103" t="s">
        <v>46</v>
      </c>
      <c r="D1103" t="s">
        <v>208</v>
      </c>
      <c r="E1103" t="s">
        <v>26</v>
      </c>
      <c r="F1103">
        <v>25.356800004207461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208</v>
      </c>
    </row>
    <row r="1104" spans="1:87" x14ac:dyDescent="0.45">
      <c r="A1104" t="s">
        <v>24</v>
      </c>
      <c r="B1104" t="s">
        <v>0</v>
      </c>
      <c r="C1104" t="s">
        <v>46</v>
      </c>
      <c r="D1104" t="s">
        <v>212</v>
      </c>
      <c r="E1104" t="s">
        <v>213</v>
      </c>
      <c r="F1104">
        <v>14.1585</v>
      </c>
      <c r="G1104">
        <v>14.19346</v>
      </c>
      <c r="H1104">
        <v>14.219250000000001</v>
      </c>
      <c r="I1104">
        <v>14.247590000000001</v>
      </c>
      <c r="J1104">
        <v>14.279199999999999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212</v>
      </c>
    </row>
    <row r="1105" spans="1:87" x14ac:dyDescent="0.45">
      <c r="A1105" t="s">
        <v>24</v>
      </c>
      <c r="B1105" t="s">
        <v>0</v>
      </c>
      <c r="C1105" t="s">
        <v>46</v>
      </c>
      <c r="D1105" t="s">
        <v>214</v>
      </c>
      <c r="E1105" t="s">
        <v>213</v>
      </c>
      <c r="F1105">
        <v>14.2821</v>
      </c>
      <c r="G1105">
        <v>14.330260000000001</v>
      </c>
      <c r="H1105">
        <v>14.366630000000001</v>
      </c>
      <c r="I1105">
        <v>14.40751</v>
      </c>
      <c r="J1105">
        <v>14.451589999999999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214</v>
      </c>
    </row>
    <row r="1106" spans="1:87" x14ac:dyDescent="0.45">
      <c r="A1106" t="s">
        <v>24</v>
      </c>
      <c r="B1106" t="s">
        <v>0</v>
      </c>
      <c r="C1106" t="s">
        <v>46</v>
      </c>
      <c r="D1106" t="s">
        <v>215</v>
      </c>
      <c r="E1106" t="s">
        <v>213</v>
      </c>
      <c r="F1106">
        <v>14.423220000000001</v>
      </c>
      <c r="G1106">
        <v>14.474399999999999</v>
      </c>
      <c r="H1106">
        <v>14.53445</v>
      </c>
      <c r="I1106">
        <v>14.61144</v>
      </c>
      <c r="J1106">
        <v>14.673249999999999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215</v>
      </c>
    </row>
    <row r="1107" spans="1:87" x14ac:dyDescent="0.45">
      <c r="A1107" t="s">
        <v>24</v>
      </c>
      <c r="B1107" t="s">
        <v>0</v>
      </c>
      <c r="C1107" t="s">
        <v>46</v>
      </c>
      <c r="D1107" t="s">
        <v>216</v>
      </c>
      <c r="E1107" t="s">
        <v>217</v>
      </c>
      <c r="F1107">
        <v>0</v>
      </c>
      <c r="G1107">
        <v>-9.0084735785422906E-2</v>
      </c>
      <c r="H1107">
        <v>-0.171700940448483</v>
      </c>
      <c r="I1107">
        <v>-0.24774332345818301</v>
      </c>
      <c r="J1107">
        <v>-0.332418873245244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216</v>
      </c>
    </row>
    <row r="1108" spans="1:87" x14ac:dyDescent="0.45">
      <c r="A1108" t="s">
        <v>24</v>
      </c>
      <c r="B1108" t="s">
        <v>0</v>
      </c>
      <c r="C1108" t="s">
        <v>46</v>
      </c>
      <c r="D1108" t="s">
        <v>218</v>
      </c>
      <c r="E1108" t="s">
        <v>217</v>
      </c>
      <c r="F1108">
        <v>0</v>
      </c>
      <c r="G1108">
        <v>-0.118315201174057</v>
      </c>
      <c r="H1108">
        <v>-0.23359673663873001</v>
      </c>
      <c r="I1108">
        <v>-0.34394234405158403</v>
      </c>
      <c r="J1108">
        <v>-0.46514864719211502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218</v>
      </c>
    </row>
    <row r="1109" spans="1:87" x14ac:dyDescent="0.45">
      <c r="A1109" t="s">
        <v>24</v>
      </c>
      <c r="B1109" t="s">
        <v>0</v>
      </c>
      <c r="C1109" t="s">
        <v>46</v>
      </c>
      <c r="D1109" t="s">
        <v>219</v>
      </c>
      <c r="E1109" t="s">
        <v>217</v>
      </c>
      <c r="F1109">
        <v>0</v>
      </c>
      <c r="G1109">
        <v>-0.145436847443003</v>
      </c>
      <c r="H1109">
        <v>-0.30733505310331899</v>
      </c>
      <c r="I1109">
        <v>-0.50986291240019399</v>
      </c>
      <c r="J1109">
        <v>-0.70465876038241504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219</v>
      </c>
    </row>
    <row r="1110" spans="1:87" x14ac:dyDescent="0.45">
      <c r="A1110" t="s">
        <v>24</v>
      </c>
      <c r="B1110" t="s">
        <v>0</v>
      </c>
      <c r="C1110" t="s">
        <v>46</v>
      </c>
      <c r="D1110" t="s">
        <v>220</v>
      </c>
      <c r="E1110" t="s">
        <v>217</v>
      </c>
      <c r="F1110">
        <v>0</v>
      </c>
      <c r="G1110">
        <v>-4.9044437330758597E-2</v>
      </c>
      <c r="H1110">
        <v>-9.4650703229959304E-2</v>
      </c>
      <c r="I1110">
        <v>-0.13653064911451901</v>
      </c>
      <c r="J1110">
        <v>-0.18316111941454299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220</v>
      </c>
    </row>
    <row r="1111" spans="1:87" x14ac:dyDescent="0.45">
      <c r="A1111" t="s">
        <v>24</v>
      </c>
      <c r="B1111" t="s">
        <v>0</v>
      </c>
      <c r="C1111" t="s">
        <v>46</v>
      </c>
      <c r="D1111" t="s">
        <v>221</v>
      </c>
      <c r="E1111" t="s">
        <v>217</v>
      </c>
      <c r="F1111">
        <v>0</v>
      </c>
      <c r="G1111">
        <v>-6.3345903131162298E-2</v>
      </c>
      <c r="H1111">
        <v>-0.127890872379499</v>
      </c>
      <c r="I1111">
        <v>-0.188746480140212</v>
      </c>
      <c r="J1111">
        <v>-0.25584224839664299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221</v>
      </c>
    </row>
    <row r="1112" spans="1:87" x14ac:dyDescent="0.45">
      <c r="A1112" t="s">
        <v>24</v>
      </c>
      <c r="B1112" t="s">
        <v>0</v>
      </c>
      <c r="C1112" t="s">
        <v>46</v>
      </c>
      <c r="D1112" t="s">
        <v>222</v>
      </c>
      <c r="E1112" t="s">
        <v>217</v>
      </c>
      <c r="F1112">
        <v>0</v>
      </c>
      <c r="G1112">
        <v>-8.0689212597440094E-2</v>
      </c>
      <c r="H1112">
        <v>-0.16983943142972999</v>
      </c>
      <c r="I1112">
        <v>-0.28084183431070803</v>
      </c>
      <c r="J1112">
        <v>-0.390405937308691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222</v>
      </c>
    </row>
    <row r="1113" spans="1:87" x14ac:dyDescent="0.45">
      <c r="A1113" t="s">
        <v>24</v>
      </c>
      <c r="B1113" t="s">
        <v>0</v>
      </c>
      <c r="C1113" t="s">
        <v>46</v>
      </c>
      <c r="D1113" t="s">
        <v>223</v>
      </c>
      <c r="E1113" t="s">
        <v>100</v>
      </c>
      <c r="F1113">
        <v>17759.189999999999</v>
      </c>
      <c r="G1113">
        <v>18282.810000000001</v>
      </c>
      <c r="H1113">
        <v>18925.810000000001</v>
      </c>
      <c r="I1113">
        <v>19625.54</v>
      </c>
      <c r="J1113">
        <v>20317.21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223</v>
      </c>
    </row>
    <row r="1114" spans="1:87" x14ac:dyDescent="0.45">
      <c r="A1114" t="s">
        <v>24</v>
      </c>
      <c r="B1114" t="s">
        <v>0</v>
      </c>
      <c r="C1114" t="s">
        <v>46</v>
      </c>
      <c r="D1114" t="s">
        <v>224</v>
      </c>
      <c r="E1114" t="s">
        <v>100</v>
      </c>
      <c r="F1114">
        <v>17759.189999999999</v>
      </c>
      <c r="G1114">
        <v>18277.64</v>
      </c>
      <c r="H1114">
        <v>18914.07</v>
      </c>
      <c r="I1114">
        <v>19606.62</v>
      </c>
      <c r="J1114">
        <v>20290.16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224</v>
      </c>
    </row>
    <row r="1115" spans="1:87" x14ac:dyDescent="0.45">
      <c r="A1115" t="s">
        <v>24</v>
      </c>
      <c r="B1115" t="s">
        <v>0</v>
      </c>
      <c r="C1115" t="s">
        <v>46</v>
      </c>
      <c r="D1115" t="s">
        <v>225</v>
      </c>
      <c r="E1115" t="s">
        <v>100</v>
      </c>
      <c r="F1115">
        <v>17759.189999999999</v>
      </c>
      <c r="G1115">
        <v>18272.68</v>
      </c>
      <c r="H1115">
        <v>18900.09</v>
      </c>
      <c r="I1115">
        <v>19573.97</v>
      </c>
      <c r="J1115">
        <v>20241.330000000002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225</v>
      </c>
    </row>
    <row r="1116" spans="1:87" x14ac:dyDescent="0.45">
      <c r="A1116" t="s">
        <v>24</v>
      </c>
      <c r="B1116" t="s">
        <v>0</v>
      </c>
      <c r="C1116" t="s">
        <v>46</v>
      </c>
      <c r="D1116" t="s">
        <v>226</v>
      </c>
      <c r="E1116" t="s">
        <v>100</v>
      </c>
      <c r="F1116">
        <v>17759.189699999999</v>
      </c>
      <c r="G1116">
        <v>18290.320154804402</v>
      </c>
      <c r="H1116">
        <v>18940.4139203874</v>
      </c>
      <c r="I1116">
        <v>19647.4222106501</v>
      </c>
      <c r="J1116">
        <v>20347.638427461399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226</v>
      </c>
    </row>
    <row r="1117" spans="1:87" x14ac:dyDescent="0.45">
      <c r="A1117" t="s">
        <v>24</v>
      </c>
      <c r="B1117" t="s">
        <v>0</v>
      </c>
      <c r="C1117" t="s">
        <v>46</v>
      </c>
      <c r="D1117" t="s">
        <v>227</v>
      </c>
      <c r="E1117" t="s">
        <v>100</v>
      </c>
      <c r="F1117">
        <v>17759.189699999999</v>
      </c>
      <c r="G1117">
        <v>18287.703087396701</v>
      </c>
      <c r="H1117">
        <v>18934.112130073801</v>
      </c>
      <c r="I1117">
        <v>19637.149119950202</v>
      </c>
      <c r="J1117">
        <v>20332.822396923799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227</v>
      </c>
    </row>
    <row r="1118" spans="1:87" x14ac:dyDescent="0.45">
      <c r="A1118" t="s">
        <v>24</v>
      </c>
      <c r="B1118" t="s">
        <v>0</v>
      </c>
      <c r="C1118" t="s">
        <v>46</v>
      </c>
      <c r="D1118" t="s">
        <v>228</v>
      </c>
      <c r="E1118" t="s">
        <v>100</v>
      </c>
      <c r="F1118">
        <v>17759.189699999999</v>
      </c>
      <c r="G1118">
        <v>18284.529384044901</v>
      </c>
      <c r="H1118">
        <v>18926.159372014699</v>
      </c>
      <c r="I1118">
        <v>19619.030018753499</v>
      </c>
      <c r="J1118">
        <v>20305.391621534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228</v>
      </c>
    </row>
    <row r="1119" spans="1:87" x14ac:dyDescent="0.45">
      <c r="A1119" t="s">
        <v>24</v>
      </c>
      <c r="B1119" t="s">
        <v>6</v>
      </c>
      <c r="C1119" t="s">
        <v>46</v>
      </c>
      <c r="D1119" t="s">
        <v>212</v>
      </c>
      <c r="E1119" t="s">
        <v>213</v>
      </c>
      <c r="F1119">
        <v>14.15864</v>
      </c>
      <c r="G1119">
        <v>14.193669999999999</v>
      </c>
      <c r="H1119">
        <v>14.21963</v>
      </c>
      <c r="I1119">
        <v>14.248049999999999</v>
      </c>
      <c r="J1119">
        <v>14.2798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212</v>
      </c>
    </row>
    <row r="1120" spans="1:87" x14ac:dyDescent="0.45">
      <c r="A1120" t="s">
        <v>24</v>
      </c>
      <c r="B1120" t="s">
        <v>6</v>
      </c>
      <c r="C1120" t="s">
        <v>46</v>
      </c>
      <c r="D1120" t="s">
        <v>214</v>
      </c>
      <c r="E1120" t="s">
        <v>213</v>
      </c>
      <c r="F1120">
        <v>14.28861</v>
      </c>
      <c r="G1120">
        <v>14.331390000000001</v>
      </c>
      <c r="H1120">
        <v>14.37425</v>
      </c>
      <c r="I1120">
        <v>14.42318</v>
      </c>
      <c r="J1120">
        <v>14.46687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214</v>
      </c>
    </row>
    <row r="1121" spans="1:87" x14ac:dyDescent="0.45">
      <c r="A1121" t="s">
        <v>24</v>
      </c>
      <c r="B1121" t="s">
        <v>6</v>
      </c>
      <c r="C1121" t="s">
        <v>46</v>
      </c>
      <c r="D1121" t="s">
        <v>215</v>
      </c>
      <c r="E1121" t="s">
        <v>213</v>
      </c>
      <c r="F1121">
        <v>14.38968</v>
      </c>
      <c r="G1121">
        <v>14.443020000000001</v>
      </c>
      <c r="H1121">
        <v>14.49882</v>
      </c>
      <c r="I1121">
        <v>14.561400000000001</v>
      </c>
      <c r="J1121">
        <v>14.616020000000001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215</v>
      </c>
    </row>
    <row r="1122" spans="1:87" x14ac:dyDescent="0.45">
      <c r="A1122" t="s">
        <v>24</v>
      </c>
      <c r="B1122" t="s">
        <v>6</v>
      </c>
      <c r="C1122" t="s">
        <v>46</v>
      </c>
      <c r="D1122" t="s">
        <v>216</v>
      </c>
      <c r="E1122" t="s">
        <v>217</v>
      </c>
      <c r="F1122">
        <v>0</v>
      </c>
      <c r="G1122">
        <v>-9.0312046028551099E-2</v>
      </c>
      <c r="H1122">
        <v>-0.172280537088354</v>
      </c>
      <c r="I1122">
        <v>-0.24862999977167699</v>
      </c>
      <c r="J1122">
        <v>-0.333652363423731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216</v>
      </c>
    </row>
    <row r="1123" spans="1:87" x14ac:dyDescent="0.45">
      <c r="A1123" t="s">
        <v>24</v>
      </c>
      <c r="B1123" t="s">
        <v>6</v>
      </c>
      <c r="C1123" t="s">
        <v>46</v>
      </c>
      <c r="D1123" t="s">
        <v>218</v>
      </c>
      <c r="E1123" t="s">
        <v>217</v>
      </c>
      <c r="F1123">
        <v>0</v>
      </c>
      <c r="G1123">
        <v>-0.11373371024298</v>
      </c>
      <c r="H1123">
        <v>-0.234157429259163</v>
      </c>
      <c r="I1123">
        <v>-0.36564951172734</v>
      </c>
      <c r="J1123">
        <v>-0.49491362719202803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218</v>
      </c>
    </row>
    <row r="1124" spans="1:87" x14ac:dyDescent="0.45">
      <c r="A1124" t="s">
        <v>24</v>
      </c>
      <c r="B1124" t="s">
        <v>6</v>
      </c>
      <c r="C1124" t="s">
        <v>46</v>
      </c>
      <c r="D1124" t="s">
        <v>219</v>
      </c>
      <c r="E1124" t="s">
        <v>217</v>
      </c>
      <c r="F1124">
        <v>0</v>
      </c>
      <c r="G1124">
        <v>-0.15581223071184899</v>
      </c>
      <c r="H1124">
        <v>-0.31172828312658901</v>
      </c>
      <c r="I1124">
        <v>-0.48278629899955999</v>
      </c>
      <c r="J1124">
        <v>-0.64793086414703904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219</v>
      </c>
    </row>
    <row r="1125" spans="1:87" x14ac:dyDescent="0.45">
      <c r="A1125" t="s">
        <v>24</v>
      </c>
      <c r="B1125" t="s">
        <v>6</v>
      </c>
      <c r="C1125" t="s">
        <v>46</v>
      </c>
      <c r="D1125" t="s">
        <v>220</v>
      </c>
      <c r="E1125" t="s">
        <v>217</v>
      </c>
      <c r="F1125">
        <v>0</v>
      </c>
      <c r="G1125">
        <v>-4.9176902815106803E-2</v>
      </c>
      <c r="H1125">
        <v>-9.4977853314370794E-2</v>
      </c>
      <c r="I1125">
        <v>-0.13703801437350299</v>
      </c>
      <c r="J1125">
        <v>-0.18385351157768101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220</v>
      </c>
    </row>
    <row r="1126" spans="1:87" x14ac:dyDescent="0.45">
      <c r="A1126" t="s">
        <v>24</v>
      </c>
      <c r="B1126" t="s">
        <v>6</v>
      </c>
      <c r="C1126" t="s">
        <v>46</v>
      </c>
      <c r="D1126" t="s">
        <v>221</v>
      </c>
      <c r="E1126" t="s">
        <v>217</v>
      </c>
      <c r="F1126">
        <v>0</v>
      </c>
      <c r="G1126">
        <v>-6.2351182939746098E-2</v>
      </c>
      <c r="H1126">
        <v>-0.12913817682332901</v>
      </c>
      <c r="I1126">
        <v>-0.20159050879721099</v>
      </c>
      <c r="J1126">
        <v>-0.27383475297466697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221</v>
      </c>
    </row>
    <row r="1127" spans="1:87" x14ac:dyDescent="0.45">
      <c r="A1127" t="s">
        <v>24</v>
      </c>
      <c r="B1127" t="s">
        <v>6</v>
      </c>
      <c r="C1127" t="s">
        <v>46</v>
      </c>
      <c r="D1127" t="s">
        <v>222</v>
      </c>
      <c r="E1127" t="s">
        <v>217</v>
      </c>
      <c r="F1127">
        <v>0</v>
      </c>
      <c r="G1127">
        <v>-8.6733782048198399E-2</v>
      </c>
      <c r="H1127">
        <v>-0.173170518873278</v>
      </c>
      <c r="I1127">
        <v>-0.26775149579308899</v>
      </c>
      <c r="J1127">
        <v>-0.360351254405122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222</v>
      </c>
    </row>
    <row r="1128" spans="1:87" x14ac:dyDescent="0.45">
      <c r="A1128" t="s">
        <v>24</v>
      </c>
      <c r="B1128" t="s">
        <v>6</v>
      </c>
      <c r="C1128" t="s">
        <v>46</v>
      </c>
      <c r="D1128" t="s">
        <v>223</v>
      </c>
      <c r="E1128" t="s">
        <v>100</v>
      </c>
      <c r="F1128">
        <v>17759.189999999999</v>
      </c>
      <c r="G1128">
        <v>18282.77</v>
      </c>
      <c r="H1128">
        <v>18925.7</v>
      </c>
      <c r="I1128">
        <v>19625.37</v>
      </c>
      <c r="J1128">
        <v>20316.96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223</v>
      </c>
    </row>
    <row r="1129" spans="1:87" x14ac:dyDescent="0.45">
      <c r="A1129" t="s">
        <v>24</v>
      </c>
      <c r="B1129" t="s">
        <v>6</v>
      </c>
      <c r="C1129" t="s">
        <v>46</v>
      </c>
      <c r="D1129" t="s">
        <v>224</v>
      </c>
      <c r="E1129" t="s">
        <v>100</v>
      </c>
      <c r="F1129">
        <v>17759.189999999999</v>
      </c>
      <c r="G1129">
        <v>18278.48</v>
      </c>
      <c r="H1129">
        <v>18913.97</v>
      </c>
      <c r="I1129">
        <v>19602.34</v>
      </c>
      <c r="J1129">
        <v>20284.09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224</v>
      </c>
    </row>
    <row r="1130" spans="1:87" x14ac:dyDescent="0.45">
      <c r="A1130" t="s">
        <v>24</v>
      </c>
      <c r="B1130" t="s">
        <v>6</v>
      </c>
      <c r="C1130" t="s">
        <v>46</v>
      </c>
      <c r="D1130" t="s">
        <v>225</v>
      </c>
      <c r="E1130" t="s">
        <v>100</v>
      </c>
      <c r="F1130">
        <v>17759.189999999999</v>
      </c>
      <c r="G1130">
        <v>18270.78</v>
      </c>
      <c r="H1130">
        <v>18899.259999999998</v>
      </c>
      <c r="I1130">
        <v>19579.3</v>
      </c>
      <c r="J1130">
        <v>20252.900000000001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225</v>
      </c>
    </row>
    <row r="1131" spans="1:87" x14ac:dyDescent="0.45">
      <c r="A1131" t="s">
        <v>24</v>
      </c>
      <c r="B1131" t="s">
        <v>6</v>
      </c>
      <c r="C1131" t="s">
        <v>46</v>
      </c>
      <c r="D1131" t="s">
        <v>226</v>
      </c>
      <c r="E1131" t="s">
        <v>100</v>
      </c>
      <c r="F1131">
        <v>17759.189699999999</v>
      </c>
      <c r="G1131">
        <v>18290.295914554699</v>
      </c>
      <c r="H1131">
        <v>18940.351898102799</v>
      </c>
      <c r="I1131">
        <v>19647.322390169898</v>
      </c>
      <c r="J1131">
        <v>20347.4972834867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226</v>
      </c>
    </row>
    <row r="1132" spans="1:87" x14ac:dyDescent="0.45">
      <c r="A1132" t="s">
        <v>24</v>
      </c>
      <c r="B1132" t="s">
        <v>6</v>
      </c>
      <c r="C1132" t="s">
        <v>46</v>
      </c>
      <c r="D1132" t="s">
        <v>227</v>
      </c>
      <c r="E1132" t="s">
        <v>100</v>
      </c>
      <c r="F1132">
        <v>17759.189699999999</v>
      </c>
      <c r="G1132">
        <v>18287.8851141784</v>
      </c>
      <c r="H1132">
        <v>18933.8756616303</v>
      </c>
      <c r="I1132">
        <v>19634.622149321702</v>
      </c>
      <c r="J1132">
        <v>20329.154629223802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227</v>
      </c>
    </row>
    <row r="1133" spans="1:87" x14ac:dyDescent="0.45">
      <c r="A1133" t="s">
        <v>24</v>
      </c>
      <c r="B1133" t="s">
        <v>6</v>
      </c>
      <c r="C1133" t="s">
        <v>46</v>
      </c>
      <c r="D1133" t="s">
        <v>228</v>
      </c>
      <c r="E1133" t="s">
        <v>100</v>
      </c>
      <c r="F1133">
        <v>17759.189699999999</v>
      </c>
      <c r="G1133">
        <v>18283.423270453201</v>
      </c>
      <c r="H1133">
        <v>18925.527852527201</v>
      </c>
      <c r="I1133">
        <v>19621.605449082599</v>
      </c>
      <c r="J1133">
        <v>20311.518261363901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228</v>
      </c>
    </row>
    <row r="1134" spans="1:87" x14ac:dyDescent="0.45">
      <c r="A1134" t="s">
        <v>24</v>
      </c>
      <c r="B1134" t="s">
        <v>4</v>
      </c>
      <c r="C1134" t="s">
        <v>46</v>
      </c>
      <c r="D1134" t="s">
        <v>212</v>
      </c>
      <c r="E1134" t="s">
        <v>213</v>
      </c>
      <c r="F1134">
        <v>14.15849</v>
      </c>
      <c r="G1134">
        <v>14.1935</v>
      </c>
      <c r="H1134">
        <v>14.219519999999999</v>
      </c>
      <c r="I1134">
        <v>14.24798</v>
      </c>
      <c r="J1134">
        <v>14.27983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212</v>
      </c>
    </row>
    <row r="1135" spans="1:87" x14ac:dyDescent="0.45">
      <c r="A1135" t="s">
        <v>24</v>
      </c>
      <c r="B1135" t="s">
        <v>4</v>
      </c>
      <c r="C1135" t="s">
        <v>46</v>
      </c>
      <c r="D1135" t="s">
        <v>214</v>
      </c>
      <c r="E1135" t="s">
        <v>213</v>
      </c>
      <c r="F1135">
        <v>14.288460000000001</v>
      </c>
      <c r="G1135">
        <v>14.33118</v>
      </c>
      <c r="H1135">
        <v>14.37416</v>
      </c>
      <c r="I1135">
        <v>14.42375</v>
      </c>
      <c r="J1135">
        <v>14.46738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214</v>
      </c>
    </row>
    <row r="1136" spans="1:87" x14ac:dyDescent="0.45">
      <c r="A1136" t="s">
        <v>24</v>
      </c>
      <c r="B1136" t="s">
        <v>4</v>
      </c>
      <c r="C1136" t="s">
        <v>46</v>
      </c>
      <c r="D1136" t="s">
        <v>215</v>
      </c>
      <c r="E1136" t="s">
        <v>213</v>
      </c>
      <c r="F1136">
        <v>14.38958</v>
      </c>
      <c r="G1136">
        <v>14.44308</v>
      </c>
      <c r="H1136">
        <v>14.49877</v>
      </c>
      <c r="I1136">
        <v>14.56162</v>
      </c>
      <c r="J1136">
        <v>14.61599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215</v>
      </c>
    </row>
    <row r="1137" spans="1:87" x14ac:dyDescent="0.45">
      <c r="A1137" t="s">
        <v>24</v>
      </c>
      <c r="B1137" t="s">
        <v>4</v>
      </c>
      <c r="C1137" t="s">
        <v>46</v>
      </c>
      <c r="D1137" t="s">
        <v>216</v>
      </c>
      <c r="E1137" t="s">
        <v>217</v>
      </c>
      <c r="F1137">
        <v>0</v>
      </c>
      <c r="G1137">
        <v>-9.0252588838446404E-2</v>
      </c>
      <c r="H1137">
        <v>-0.17228721652738899</v>
      </c>
      <c r="I1137">
        <v>-0.24876426879942801</v>
      </c>
      <c r="J1137">
        <v>-0.33401009662062903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216</v>
      </c>
    </row>
    <row r="1138" spans="1:87" x14ac:dyDescent="0.45">
      <c r="A1138" t="s">
        <v>24</v>
      </c>
      <c r="B1138" t="s">
        <v>4</v>
      </c>
      <c r="C1138" t="s">
        <v>46</v>
      </c>
      <c r="D1138" t="s">
        <v>218</v>
      </c>
      <c r="E1138" t="s">
        <v>217</v>
      </c>
      <c r="F1138">
        <v>0</v>
      </c>
      <c r="G1138">
        <v>-0.113612371562788</v>
      </c>
      <c r="H1138">
        <v>-0.23418003916549901</v>
      </c>
      <c r="I1138">
        <v>-0.36698348612283999</v>
      </c>
      <c r="J1138">
        <v>-0.496880393826582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218</v>
      </c>
    </row>
    <row r="1139" spans="1:87" x14ac:dyDescent="0.45">
      <c r="A1139" t="s">
        <v>24</v>
      </c>
      <c r="B1139" t="s">
        <v>4</v>
      </c>
      <c r="C1139" t="s">
        <v>46</v>
      </c>
      <c r="D1139" t="s">
        <v>219</v>
      </c>
      <c r="E1139" t="s">
        <v>217</v>
      </c>
      <c r="F1139">
        <v>0</v>
      </c>
      <c r="G1139">
        <v>-0.15615915845724701</v>
      </c>
      <c r="H1139">
        <v>-0.31203827342497498</v>
      </c>
      <c r="I1139">
        <v>-0.48346717323649602</v>
      </c>
      <c r="J1139">
        <v>-0.64849425244500902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219</v>
      </c>
    </row>
    <row r="1140" spans="1:87" x14ac:dyDescent="0.45">
      <c r="A1140" t="s">
        <v>24</v>
      </c>
      <c r="B1140" t="s">
        <v>4</v>
      </c>
      <c r="C1140" t="s">
        <v>46</v>
      </c>
      <c r="D1140" t="s">
        <v>220</v>
      </c>
      <c r="E1140" t="s">
        <v>217</v>
      </c>
      <c r="F1140">
        <v>0</v>
      </c>
      <c r="G1140">
        <v>-4.9143326130651803E-2</v>
      </c>
      <c r="H1140">
        <v>-9.4979695638364198E-2</v>
      </c>
      <c r="I1140">
        <v>-0.13711193432931501</v>
      </c>
      <c r="J1140">
        <v>-0.18404494495769499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220</v>
      </c>
    </row>
    <row r="1141" spans="1:87" x14ac:dyDescent="0.45">
      <c r="A1141" t="s">
        <v>24</v>
      </c>
      <c r="B1141" t="s">
        <v>4</v>
      </c>
      <c r="C1141" t="s">
        <v>46</v>
      </c>
      <c r="D1141" t="s">
        <v>221</v>
      </c>
      <c r="E1141" t="s">
        <v>217</v>
      </c>
      <c r="F1141">
        <v>0</v>
      </c>
      <c r="G1141">
        <v>-6.2285831619124397E-2</v>
      </c>
      <c r="H1141">
        <v>-0.129139201464956</v>
      </c>
      <c r="I1141">
        <v>-0.202260941914334</v>
      </c>
      <c r="J1141">
        <v>-0.27489875165636102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221</v>
      </c>
    </row>
    <row r="1142" spans="1:87" x14ac:dyDescent="0.45">
      <c r="A1142" t="s">
        <v>24</v>
      </c>
      <c r="B1142" t="s">
        <v>4</v>
      </c>
      <c r="C1142" t="s">
        <v>46</v>
      </c>
      <c r="D1142" t="s">
        <v>222</v>
      </c>
      <c r="E1142" t="s">
        <v>217</v>
      </c>
      <c r="F1142">
        <v>0</v>
      </c>
      <c r="G1142">
        <v>-8.6920238027232699E-2</v>
      </c>
      <c r="H1142">
        <v>-0.173360727129557</v>
      </c>
      <c r="I1142">
        <v>-0.26810872686911003</v>
      </c>
      <c r="J1142">
        <v>-0.360669520907764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222</v>
      </c>
    </row>
    <row r="1143" spans="1:87" x14ac:dyDescent="0.45">
      <c r="A1143" t="s">
        <v>24</v>
      </c>
      <c r="B1143" t="s">
        <v>4</v>
      </c>
      <c r="C1143" t="s">
        <v>46</v>
      </c>
      <c r="D1143" t="s">
        <v>223</v>
      </c>
      <c r="E1143" t="s">
        <v>100</v>
      </c>
      <c r="F1143">
        <v>17759.189999999999</v>
      </c>
      <c r="G1143">
        <v>18282.66</v>
      </c>
      <c r="H1143">
        <v>18925.47</v>
      </c>
      <c r="I1143">
        <v>19625.05</v>
      </c>
      <c r="J1143">
        <v>20316.66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223</v>
      </c>
    </row>
    <row r="1144" spans="1:87" x14ac:dyDescent="0.45">
      <c r="A1144" t="s">
        <v>24</v>
      </c>
      <c r="B1144" t="s">
        <v>4</v>
      </c>
      <c r="C1144" t="s">
        <v>46</v>
      </c>
      <c r="D1144" t="s">
        <v>224</v>
      </c>
      <c r="E1144" t="s">
        <v>100</v>
      </c>
      <c r="F1144">
        <v>17759.189999999999</v>
      </c>
      <c r="G1144">
        <v>18278.39</v>
      </c>
      <c r="H1144">
        <v>18913.73</v>
      </c>
      <c r="I1144">
        <v>19601.8</v>
      </c>
      <c r="J1144">
        <v>20283.46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224</v>
      </c>
    </row>
    <row r="1145" spans="1:87" x14ac:dyDescent="0.45">
      <c r="A1145" t="s">
        <v>24</v>
      </c>
      <c r="B1145" t="s">
        <v>4</v>
      </c>
      <c r="C1145" t="s">
        <v>46</v>
      </c>
      <c r="D1145" t="s">
        <v>225</v>
      </c>
      <c r="E1145" t="s">
        <v>100</v>
      </c>
      <c r="F1145">
        <v>17759.189999999999</v>
      </c>
      <c r="G1145">
        <v>18270.599999999999</v>
      </c>
      <c r="H1145">
        <v>18898.97</v>
      </c>
      <c r="I1145">
        <v>19578.88</v>
      </c>
      <c r="J1145">
        <v>20252.55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225</v>
      </c>
    </row>
    <row r="1146" spans="1:87" x14ac:dyDescent="0.45">
      <c r="A1146" t="s">
        <v>24</v>
      </c>
      <c r="B1146" t="s">
        <v>4</v>
      </c>
      <c r="C1146" t="s">
        <v>46</v>
      </c>
      <c r="D1146" t="s">
        <v>226</v>
      </c>
      <c r="E1146" t="s">
        <v>100</v>
      </c>
      <c r="F1146">
        <v>17759.189699999999</v>
      </c>
      <c r="G1146">
        <v>18290.186940466199</v>
      </c>
      <c r="H1146">
        <v>18940.121417642298</v>
      </c>
      <c r="I1146">
        <v>19647.020304279999</v>
      </c>
      <c r="J1146">
        <v>20347.228333814201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226</v>
      </c>
    </row>
    <row r="1147" spans="1:87" x14ac:dyDescent="0.45">
      <c r="A1147" t="s">
        <v>24</v>
      </c>
      <c r="B1147" t="s">
        <v>4</v>
      </c>
      <c r="C1147" t="s">
        <v>46</v>
      </c>
      <c r="D1147" t="s">
        <v>227</v>
      </c>
      <c r="E1147" t="s">
        <v>100</v>
      </c>
      <c r="F1147">
        <v>17759.189699999999</v>
      </c>
      <c r="G1147">
        <v>18287.781969761101</v>
      </c>
      <c r="H1147">
        <v>18933.645414875398</v>
      </c>
      <c r="I1147">
        <v>19634.2028913289</v>
      </c>
      <c r="J1147">
        <v>20328.708016607699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227</v>
      </c>
    </row>
    <row r="1148" spans="1:87" x14ac:dyDescent="0.45">
      <c r="A1148" t="s">
        <v>24</v>
      </c>
      <c r="B1148" t="s">
        <v>4</v>
      </c>
      <c r="C1148" t="s">
        <v>46</v>
      </c>
      <c r="D1148" t="s">
        <v>228</v>
      </c>
      <c r="E1148" t="s">
        <v>100</v>
      </c>
      <c r="F1148">
        <v>17759.189699999999</v>
      </c>
      <c r="G1148">
        <v>18283.2740754482</v>
      </c>
      <c r="H1148">
        <v>18925.2618415293</v>
      </c>
      <c r="I1148">
        <v>19621.248000948199</v>
      </c>
      <c r="J1148">
        <v>20311.2238636447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228</v>
      </c>
    </row>
    <row r="1149" spans="1:87" x14ac:dyDescent="0.45">
      <c r="A1149" t="s">
        <v>24</v>
      </c>
      <c r="B1149" t="s">
        <v>2</v>
      </c>
      <c r="C1149" t="s">
        <v>46</v>
      </c>
      <c r="D1149" t="s">
        <v>212</v>
      </c>
      <c r="E1149" t="s">
        <v>213</v>
      </c>
      <c r="F1149">
        <v>14.15887</v>
      </c>
      <c r="G1149">
        <v>14.1944</v>
      </c>
      <c r="H1149">
        <v>14.22071</v>
      </c>
      <c r="I1149">
        <v>14.24966</v>
      </c>
      <c r="J1149">
        <v>14.281689999999999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212</v>
      </c>
    </row>
    <row r="1150" spans="1:87" x14ac:dyDescent="0.45">
      <c r="A1150" t="s">
        <v>24</v>
      </c>
      <c r="B1150" t="s">
        <v>2</v>
      </c>
      <c r="C1150" t="s">
        <v>46</v>
      </c>
      <c r="D1150" t="s">
        <v>214</v>
      </c>
      <c r="E1150" t="s">
        <v>213</v>
      </c>
      <c r="F1150">
        <v>14.2888</v>
      </c>
      <c r="G1150">
        <v>14.332380000000001</v>
      </c>
      <c r="H1150">
        <v>14.37602</v>
      </c>
      <c r="I1150">
        <v>14.425190000000001</v>
      </c>
      <c r="J1150">
        <v>14.46935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214</v>
      </c>
    </row>
    <row r="1151" spans="1:87" x14ac:dyDescent="0.45">
      <c r="A1151" t="s">
        <v>24</v>
      </c>
      <c r="B1151" t="s">
        <v>2</v>
      </c>
      <c r="C1151" t="s">
        <v>46</v>
      </c>
      <c r="D1151" t="s">
        <v>215</v>
      </c>
      <c r="E1151" t="s">
        <v>213</v>
      </c>
      <c r="F1151">
        <v>14.38988</v>
      </c>
      <c r="G1151">
        <v>14.443820000000001</v>
      </c>
      <c r="H1151">
        <v>14.50156</v>
      </c>
      <c r="I1151">
        <v>14.564579999999999</v>
      </c>
      <c r="J1151">
        <v>14.61899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215</v>
      </c>
    </row>
    <row r="1152" spans="1:87" x14ac:dyDescent="0.45">
      <c r="A1152" t="s">
        <v>24</v>
      </c>
      <c r="B1152" t="s">
        <v>2</v>
      </c>
      <c r="C1152" t="s">
        <v>46</v>
      </c>
      <c r="D1152" t="s">
        <v>216</v>
      </c>
      <c r="E1152" t="s">
        <v>217</v>
      </c>
      <c r="F1152">
        <v>0</v>
      </c>
      <c r="G1152">
        <v>-9.1460053877323602E-2</v>
      </c>
      <c r="H1152">
        <v>-0.17460212477048401</v>
      </c>
      <c r="I1152">
        <v>-0.25227410904303799</v>
      </c>
      <c r="J1152">
        <v>-0.33836104047287902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216</v>
      </c>
    </row>
    <row r="1153" spans="1:87" x14ac:dyDescent="0.45">
      <c r="A1153" t="s">
        <v>24</v>
      </c>
      <c r="B1153" t="s">
        <v>2</v>
      </c>
      <c r="C1153" t="s">
        <v>46</v>
      </c>
      <c r="D1153" t="s">
        <v>218</v>
      </c>
      <c r="E1153" t="s">
        <v>217</v>
      </c>
      <c r="F1153">
        <v>0</v>
      </c>
      <c r="G1153">
        <v>-0.11541071426591799</v>
      </c>
      <c r="H1153">
        <v>-0.23808342478560701</v>
      </c>
      <c r="I1153">
        <v>-0.37084713916557499</v>
      </c>
      <c r="J1153">
        <v>-0.50124058344307398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218</v>
      </c>
    </row>
    <row r="1154" spans="1:87" x14ac:dyDescent="0.45">
      <c r="A1154" t="s">
        <v>24</v>
      </c>
      <c r="B1154" t="s">
        <v>2</v>
      </c>
      <c r="C1154" t="s">
        <v>46</v>
      </c>
      <c r="D1154" t="s">
        <v>219</v>
      </c>
      <c r="E1154" t="s">
        <v>217</v>
      </c>
      <c r="F1154">
        <v>0</v>
      </c>
      <c r="G1154">
        <v>-0.157111294843049</v>
      </c>
      <c r="H1154">
        <v>-0.31719817674323902</v>
      </c>
      <c r="I1154">
        <v>-0.49115125598966403</v>
      </c>
      <c r="J1154">
        <v>-0.65651734320162403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219</v>
      </c>
    </row>
    <row r="1155" spans="1:87" x14ac:dyDescent="0.45">
      <c r="A1155" t="s">
        <v>24</v>
      </c>
      <c r="B1155" t="s">
        <v>2</v>
      </c>
      <c r="C1155" t="s">
        <v>46</v>
      </c>
      <c r="D1155" t="s">
        <v>220</v>
      </c>
      <c r="E1155" t="s">
        <v>217</v>
      </c>
      <c r="F1155">
        <v>0</v>
      </c>
      <c r="G1155">
        <v>-4.9779027236329702E-2</v>
      </c>
      <c r="H1155">
        <v>-9.6236817523931401E-2</v>
      </c>
      <c r="I1155">
        <v>-0.13901362385651</v>
      </c>
      <c r="J1155">
        <v>-0.18644684939258499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220</v>
      </c>
    </row>
    <row r="1156" spans="1:87" x14ac:dyDescent="0.45">
      <c r="A1156" t="s">
        <v>24</v>
      </c>
      <c r="B1156" t="s">
        <v>2</v>
      </c>
      <c r="C1156" t="s">
        <v>46</v>
      </c>
      <c r="D1156" t="s">
        <v>221</v>
      </c>
      <c r="E1156" t="s">
        <v>217</v>
      </c>
      <c r="F1156">
        <v>0</v>
      </c>
      <c r="G1156">
        <v>-6.3211971571797101E-2</v>
      </c>
      <c r="H1156">
        <v>-0.131249833563885</v>
      </c>
      <c r="I1156">
        <v>-0.204468862579887</v>
      </c>
      <c r="J1156">
        <v>-0.27733227974775498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221</v>
      </c>
    </row>
    <row r="1157" spans="1:87" x14ac:dyDescent="0.45">
      <c r="A1157" t="s">
        <v>24</v>
      </c>
      <c r="B1157" t="s">
        <v>2</v>
      </c>
      <c r="C1157" t="s">
        <v>46</v>
      </c>
      <c r="D1157" t="s">
        <v>222</v>
      </c>
      <c r="E1157" t="s">
        <v>217</v>
      </c>
      <c r="F1157">
        <v>0</v>
      </c>
      <c r="G1157">
        <v>-8.7428057860694505E-2</v>
      </c>
      <c r="H1157">
        <v>-0.17605976343922899</v>
      </c>
      <c r="I1157">
        <v>-0.27241087299033601</v>
      </c>
      <c r="J1157">
        <v>-0.36517501924906398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222</v>
      </c>
    </row>
    <row r="1158" spans="1:87" x14ac:dyDescent="0.45">
      <c r="A1158" t="s">
        <v>24</v>
      </c>
      <c r="B1158" t="s">
        <v>2</v>
      </c>
      <c r="C1158" t="s">
        <v>46</v>
      </c>
      <c r="D1158" t="s">
        <v>223</v>
      </c>
      <c r="E1158" t="s">
        <v>100</v>
      </c>
      <c r="F1158">
        <v>17759.189999999999</v>
      </c>
      <c r="G1158">
        <v>18277.78</v>
      </c>
      <c r="H1158">
        <v>18914.330000000002</v>
      </c>
      <c r="I1158">
        <v>19607.080000000002</v>
      </c>
      <c r="J1158">
        <v>20292.189999999999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223</v>
      </c>
    </row>
    <row r="1159" spans="1:87" x14ac:dyDescent="0.45">
      <c r="A1159" t="s">
        <v>24</v>
      </c>
      <c r="B1159" t="s">
        <v>2</v>
      </c>
      <c r="C1159" t="s">
        <v>46</v>
      </c>
      <c r="D1159" t="s">
        <v>224</v>
      </c>
      <c r="E1159" t="s">
        <v>100</v>
      </c>
      <c r="F1159">
        <v>17759.189999999999</v>
      </c>
      <c r="G1159">
        <v>18273.400000000001</v>
      </c>
      <c r="H1159">
        <v>18902.3</v>
      </c>
      <c r="I1159">
        <v>19583.77</v>
      </c>
      <c r="J1159">
        <v>20259.03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224</v>
      </c>
    </row>
    <row r="1160" spans="1:87" x14ac:dyDescent="0.45">
      <c r="A1160" t="s">
        <v>24</v>
      </c>
      <c r="B1160" t="s">
        <v>2</v>
      </c>
      <c r="C1160" t="s">
        <v>46</v>
      </c>
      <c r="D1160" t="s">
        <v>225</v>
      </c>
      <c r="E1160" t="s">
        <v>100</v>
      </c>
      <c r="F1160">
        <v>17759.189999999999</v>
      </c>
      <c r="G1160">
        <v>18265.77</v>
      </c>
      <c r="H1160">
        <v>18887.310000000001</v>
      </c>
      <c r="I1160">
        <v>19560.13</v>
      </c>
      <c r="J1160">
        <v>20227.41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225</v>
      </c>
    </row>
    <row r="1161" spans="1:87" x14ac:dyDescent="0.45">
      <c r="A1161" t="s">
        <v>24</v>
      </c>
      <c r="B1161" t="s">
        <v>2</v>
      </c>
      <c r="C1161" t="s">
        <v>46</v>
      </c>
      <c r="D1161" t="s">
        <v>226</v>
      </c>
      <c r="E1161" t="s">
        <v>100</v>
      </c>
      <c r="F1161">
        <v>17759.189699999999</v>
      </c>
      <c r="G1161">
        <v>18285.406914655301</v>
      </c>
      <c r="H1161">
        <v>18929.174904368901</v>
      </c>
      <c r="I1161">
        <v>19629.343819410198</v>
      </c>
      <c r="J1161">
        <v>20323.124020356801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226</v>
      </c>
    </row>
    <row r="1162" spans="1:87" x14ac:dyDescent="0.45">
      <c r="A1162" t="s">
        <v>24</v>
      </c>
      <c r="B1162" t="s">
        <v>2</v>
      </c>
      <c r="C1162" t="s">
        <v>46</v>
      </c>
      <c r="D1162" t="s">
        <v>227</v>
      </c>
      <c r="E1162" t="s">
        <v>100</v>
      </c>
      <c r="F1162">
        <v>17759.189699999999</v>
      </c>
      <c r="G1162">
        <v>18282.9494228074</v>
      </c>
      <c r="H1162">
        <v>18922.5408449157</v>
      </c>
      <c r="I1162">
        <v>19616.477499616001</v>
      </c>
      <c r="J1162">
        <v>20304.6187591528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227</v>
      </c>
    </row>
    <row r="1163" spans="1:87" x14ac:dyDescent="0.45">
      <c r="A1163" t="s">
        <v>24</v>
      </c>
      <c r="B1163" t="s">
        <v>2</v>
      </c>
      <c r="C1163" t="s">
        <v>46</v>
      </c>
      <c r="D1163" t="s">
        <v>228</v>
      </c>
      <c r="E1163" t="s">
        <v>100</v>
      </c>
      <c r="F1163">
        <v>17759.189699999999</v>
      </c>
      <c r="G1163">
        <v>18278.519207572601</v>
      </c>
      <c r="H1163">
        <v>18914.050524100501</v>
      </c>
      <c r="I1163">
        <v>19603.122363335799</v>
      </c>
      <c r="J1163">
        <v>20286.733022869299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228</v>
      </c>
    </row>
    <row r="1164" spans="1:87" x14ac:dyDescent="0.45">
      <c r="A1164" t="s">
        <v>24</v>
      </c>
      <c r="B1164" t="s">
        <v>1</v>
      </c>
      <c r="C1164" t="s">
        <v>46</v>
      </c>
      <c r="D1164" t="s">
        <v>212</v>
      </c>
      <c r="E1164" t="s">
        <v>213</v>
      </c>
      <c r="F1164">
        <v>14.15878</v>
      </c>
      <c r="G1164">
        <v>14.1942</v>
      </c>
      <c r="H1164">
        <v>14.2204</v>
      </c>
      <c r="I1164">
        <v>14.249169999999999</v>
      </c>
      <c r="J1164">
        <v>14.281000000000001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212</v>
      </c>
    </row>
    <row r="1165" spans="1:87" x14ac:dyDescent="0.45">
      <c r="A1165" t="s">
        <v>24</v>
      </c>
      <c r="B1165" t="s">
        <v>1</v>
      </c>
      <c r="C1165" t="s">
        <v>46</v>
      </c>
      <c r="D1165" t="s">
        <v>214</v>
      </c>
      <c r="E1165" t="s">
        <v>213</v>
      </c>
      <c r="F1165">
        <v>14.282310000000001</v>
      </c>
      <c r="G1165">
        <v>14.33127</v>
      </c>
      <c r="H1165">
        <v>14.368399999999999</v>
      </c>
      <c r="I1165">
        <v>14.4095</v>
      </c>
      <c r="J1165">
        <v>14.454000000000001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214</v>
      </c>
    </row>
    <row r="1166" spans="1:87" x14ac:dyDescent="0.45">
      <c r="A1166" t="s">
        <v>24</v>
      </c>
      <c r="B1166" t="s">
        <v>1</v>
      </c>
      <c r="C1166" t="s">
        <v>46</v>
      </c>
      <c r="D1166" t="s">
        <v>215</v>
      </c>
      <c r="E1166" t="s">
        <v>213</v>
      </c>
      <c r="F1166">
        <v>14.42346</v>
      </c>
      <c r="G1166">
        <v>14.475289999999999</v>
      </c>
      <c r="H1166">
        <v>14.53736</v>
      </c>
      <c r="I1166">
        <v>14.614890000000001</v>
      </c>
      <c r="J1166">
        <v>14.6775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215</v>
      </c>
    </row>
    <row r="1167" spans="1:87" x14ac:dyDescent="0.45">
      <c r="A1167" t="s">
        <v>24</v>
      </c>
      <c r="B1167" t="s">
        <v>1</v>
      </c>
      <c r="C1167" t="s">
        <v>46</v>
      </c>
      <c r="D1167" t="s">
        <v>216</v>
      </c>
      <c r="E1167" t="s">
        <v>217</v>
      </c>
      <c r="F1167">
        <v>0</v>
      </c>
      <c r="G1167">
        <v>-9.1219713352441695E-2</v>
      </c>
      <c r="H1167">
        <v>-0.174057910392311</v>
      </c>
      <c r="I1167">
        <v>-0.25129872013135401</v>
      </c>
      <c r="J1167">
        <v>-0.336843221323258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216</v>
      </c>
    </row>
    <row r="1168" spans="1:87" x14ac:dyDescent="0.45">
      <c r="A1168" t="s">
        <v>24</v>
      </c>
      <c r="B1168" t="s">
        <v>1</v>
      </c>
      <c r="C1168" t="s">
        <v>46</v>
      </c>
      <c r="D1168" t="s">
        <v>218</v>
      </c>
      <c r="E1168" t="s">
        <v>217</v>
      </c>
      <c r="F1168">
        <v>0</v>
      </c>
      <c r="G1168">
        <v>-0.12007478129633101</v>
      </c>
      <c r="H1168">
        <v>-0.23758453306702601</v>
      </c>
      <c r="I1168">
        <v>-0.34914864282694602</v>
      </c>
      <c r="J1168">
        <v>-0.471380978915237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218</v>
      </c>
    </row>
    <row r="1169" spans="1:87" x14ac:dyDescent="0.45">
      <c r="A1169" t="s">
        <v>24</v>
      </c>
      <c r="B1169" t="s">
        <v>1</v>
      </c>
      <c r="C1169" t="s">
        <v>46</v>
      </c>
      <c r="D1169" t="s">
        <v>219</v>
      </c>
      <c r="E1169" t="s">
        <v>217</v>
      </c>
      <c r="F1169">
        <v>0</v>
      </c>
      <c r="G1169">
        <v>-0.14691009031875299</v>
      </c>
      <c r="H1169">
        <v>-0.31327129443264901</v>
      </c>
      <c r="I1169">
        <v>-0.51890235670884999</v>
      </c>
      <c r="J1169">
        <v>-0.71578974477697299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219</v>
      </c>
    </row>
    <row r="1170" spans="1:87" x14ac:dyDescent="0.45">
      <c r="A1170" t="s">
        <v>24</v>
      </c>
      <c r="B1170" t="s">
        <v>1</v>
      </c>
      <c r="C1170" t="s">
        <v>46</v>
      </c>
      <c r="D1170" t="s">
        <v>220</v>
      </c>
      <c r="E1170" t="s">
        <v>217</v>
      </c>
      <c r="F1170">
        <v>0</v>
      </c>
      <c r="G1170">
        <v>-4.9650107201470998E-2</v>
      </c>
      <c r="H1170">
        <v>-9.5938754939339801E-2</v>
      </c>
      <c r="I1170">
        <v>-0.13848184562319499</v>
      </c>
      <c r="J1170">
        <v>-0.18561608753091499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220</v>
      </c>
    </row>
    <row r="1171" spans="1:87" x14ac:dyDescent="0.45">
      <c r="A1171" t="s">
        <v>24</v>
      </c>
      <c r="B1171" t="s">
        <v>1</v>
      </c>
      <c r="C1171" t="s">
        <v>46</v>
      </c>
      <c r="D1171" t="s">
        <v>221</v>
      </c>
      <c r="E1171" t="s">
        <v>217</v>
      </c>
      <c r="F1171">
        <v>0</v>
      </c>
      <c r="G1171">
        <v>-6.4229654576519704E-2</v>
      </c>
      <c r="H1171">
        <v>-0.130020313126611</v>
      </c>
      <c r="I1171">
        <v>-0.19160991689245499</v>
      </c>
      <c r="J1171">
        <v>-0.25926098456416902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221</v>
      </c>
    </row>
    <row r="1172" spans="1:87" x14ac:dyDescent="0.45">
      <c r="A1172" t="s">
        <v>24</v>
      </c>
      <c r="B1172" t="s">
        <v>1</v>
      </c>
      <c r="C1172" t="s">
        <v>46</v>
      </c>
      <c r="D1172" t="s">
        <v>222</v>
      </c>
      <c r="E1172" t="s">
        <v>217</v>
      </c>
      <c r="F1172">
        <v>0</v>
      </c>
      <c r="G1172">
        <v>-8.1470533982774804E-2</v>
      </c>
      <c r="H1172">
        <v>-0.17295128103174101</v>
      </c>
      <c r="I1172">
        <v>-0.28588282171145801</v>
      </c>
      <c r="J1172">
        <v>-0.39661769875286601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222</v>
      </c>
    </row>
    <row r="1173" spans="1:87" x14ac:dyDescent="0.45">
      <c r="A1173" t="s">
        <v>24</v>
      </c>
      <c r="B1173" t="s">
        <v>1</v>
      </c>
      <c r="C1173" t="s">
        <v>46</v>
      </c>
      <c r="D1173" t="s">
        <v>223</v>
      </c>
      <c r="E1173" t="s">
        <v>100</v>
      </c>
      <c r="F1173">
        <v>17759.189999999999</v>
      </c>
      <c r="G1173">
        <v>18275.55</v>
      </c>
      <c r="H1173">
        <v>18909.88</v>
      </c>
      <c r="I1173">
        <v>19601.59</v>
      </c>
      <c r="J1173">
        <v>20287.96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223</v>
      </c>
    </row>
    <row r="1174" spans="1:87" x14ac:dyDescent="0.45">
      <c r="A1174" t="s">
        <v>24</v>
      </c>
      <c r="B1174" t="s">
        <v>1</v>
      </c>
      <c r="C1174" t="s">
        <v>46</v>
      </c>
      <c r="D1174" t="s">
        <v>224</v>
      </c>
      <c r="E1174" t="s">
        <v>100</v>
      </c>
      <c r="F1174">
        <v>17759.189999999999</v>
      </c>
      <c r="G1174">
        <v>18270.27</v>
      </c>
      <c r="H1174">
        <v>18897.849999999999</v>
      </c>
      <c r="I1174">
        <v>19582.36</v>
      </c>
      <c r="J1174">
        <v>20260.57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224</v>
      </c>
    </row>
    <row r="1175" spans="1:87" x14ac:dyDescent="0.45">
      <c r="A1175" t="s">
        <v>24</v>
      </c>
      <c r="B1175" t="s">
        <v>1</v>
      </c>
      <c r="C1175" t="s">
        <v>46</v>
      </c>
      <c r="D1175" t="s">
        <v>225</v>
      </c>
      <c r="E1175" t="s">
        <v>100</v>
      </c>
      <c r="F1175">
        <v>17759.189999999999</v>
      </c>
      <c r="G1175">
        <v>18265.36</v>
      </c>
      <c r="H1175">
        <v>18883.509999999998</v>
      </c>
      <c r="I1175">
        <v>19549.009999999998</v>
      </c>
      <c r="J1175">
        <v>20210.82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225</v>
      </c>
    </row>
    <row r="1176" spans="1:87" x14ac:dyDescent="0.45">
      <c r="A1176" t="s">
        <v>24</v>
      </c>
      <c r="B1176" t="s">
        <v>1</v>
      </c>
      <c r="C1176" t="s">
        <v>46</v>
      </c>
      <c r="D1176" t="s">
        <v>226</v>
      </c>
      <c r="E1176" t="s">
        <v>100</v>
      </c>
      <c r="F1176">
        <v>17759.189699999999</v>
      </c>
      <c r="G1176">
        <v>18283.154083385602</v>
      </c>
      <c r="H1176">
        <v>18924.6806548721</v>
      </c>
      <c r="I1176">
        <v>19623.762365853101</v>
      </c>
      <c r="J1176">
        <v>20318.746532751898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226</v>
      </c>
    </row>
    <row r="1177" spans="1:87" x14ac:dyDescent="0.45">
      <c r="A1177" t="s">
        <v>24</v>
      </c>
      <c r="B1177" t="s">
        <v>1</v>
      </c>
      <c r="C1177" t="s">
        <v>46</v>
      </c>
      <c r="D1177" t="s">
        <v>227</v>
      </c>
      <c r="E1177" t="s">
        <v>100</v>
      </c>
      <c r="F1177">
        <v>17759.189699999999</v>
      </c>
      <c r="G1177">
        <v>18280.4871581431</v>
      </c>
      <c r="H1177">
        <v>18918.2246349979</v>
      </c>
      <c r="I1177">
        <v>19613.322181637901</v>
      </c>
      <c r="J1177">
        <v>20303.754986067001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227</v>
      </c>
    </row>
    <row r="1178" spans="1:87" x14ac:dyDescent="0.45">
      <c r="A1178" t="s">
        <v>24</v>
      </c>
      <c r="B1178" t="s">
        <v>1</v>
      </c>
      <c r="C1178" t="s">
        <v>46</v>
      </c>
      <c r="D1178" t="s">
        <v>228</v>
      </c>
      <c r="E1178" t="s">
        <v>100</v>
      </c>
      <c r="F1178">
        <v>17759.189699999999</v>
      </c>
      <c r="G1178">
        <v>18277.333415759502</v>
      </c>
      <c r="H1178">
        <v>18910.092284343798</v>
      </c>
      <c r="I1178">
        <v>19594.796636303701</v>
      </c>
      <c r="J1178">
        <v>20275.7939232344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228</v>
      </c>
    </row>
    <row r="1179" spans="1:87" x14ac:dyDescent="0.45">
      <c r="A1179" t="s">
        <v>24</v>
      </c>
      <c r="B1179" t="s">
        <v>3</v>
      </c>
      <c r="C1179" t="s">
        <v>46</v>
      </c>
      <c r="D1179" t="s">
        <v>212</v>
      </c>
      <c r="E1179" t="s">
        <v>213</v>
      </c>
      <c r="F1179">
        <v>14.158770000000001</v>
      </c>
      <c r="G1179">
        <v>14.194179999999999</v>
      </c>
      <c r="H1179">
        <v>14.22039</v>
      </c>
      <c r="I1179">
        <v>14.249180000000001</v>
      </c>
      <c r="J1179">
        <v>14.28105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212</v>
      </c>
    </row>
    <row r="1180" spans="1:87" x14ac:dyDescent="0.45">
      <c r="A1180" t="s">
        <v>24</v>
      </c>
      <c r="B1180" t="s">
        <v>3</v>
      </c>
      <c r="C1180" t="s">
        <v>46</v>
      </c>
      <c r="D1180" t="s">
        <v>214</v>
      </c>
      <c r="E1180" t="s">
        <v>213</v>
      </c>
      <c r="F1180">
        <v>14.28229</v>
      </c>
      <c r="G1180">
        <v>14.331239999999999</v>
      </c>
      <c r="H1180">
        <v>14.36829</v>
      </c>
      <c r="I1180">
        <v>14.40945</v>
      </c>
      <c r="J1180">
        <v>14.454040000000001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214</v>
      </c>
    </row>
    <row r="1181" spans="1:87" x14ac:dyDescent="0.45">
      <c r="A1181" t="s">
        <v>24</v>
      </c>
      <c r="B1181" t="s">
        <v>3</v>
      </c>
      <c r="C1181" t="s">
        <v>46</v>
      </c>
      <c r="D1181" t="s">
        <v>215</v>
      </c>
      <c r="E1181" t="s">
        <v>213</v>
      </c>
      <c r="F1181">
        <v>14.42343</v>
      </c>
      <c r="G1181">
        <v>14.47523</v>
      </c>
      <c r="H1181">
        <v>14.537319999999999</v>
      </c>
      <c r="I1181">
        <v>14.614850000000001</v>
      </c>
      <c r="J1181">
        <v>14.67756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215</v>
      </c>
    </row>
    <row r="1182" spans="1:87" x14ac:dyDescent="0.45">
      <c r="A1182" t="s">
        <v>24</v>
      </c>
      <c r="B1182" t="s">
        <v>3</v>
      </c>
      <c r="C1182" t="s">
        <v>46</v>
      </c>
      <c r="D1182" t="s">
        <v>216</v>
      </c>
      <c r="E1182" t="s">
        <v>217</v>
      </c>
      <c r="F1182">
        <v>0</v>
      </c>
      <c r="G1182">
        <v>-9.1181326396594403E-2</v>
      </c>
      <c r="H1182">
        <v>-0.174011380969397</v>
      </c>
      <c r="I1182">
        <v>-0.251301871080989</v>
      </c>
      <c r="J1182">
        <v>-0.33694736072049603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216</v>
      </c>
    </row>
    <row r="1183" spans="1:87" x14ac:dyDescent="0.45">
      <c r="A1183" t="s">
        <v>24</v>
      </c>
      <c r="B1183" t="s">
        <v>3</v>
      </c>
      <c r="C1183" t="s">
        <v>46</v>
      </c>
      <c r="D1183" t="s">
        <v>218</v>
      </c>
      <c r="E1183" t="s">
        <v>217</v>
      </c>
      <c r="F1183">
        <v>0</v>
      </c>
      <c r="G1183">
        <v>-0.120004558561737</v>
      </c>
      <c r="H1183">
        <v>-0.237355359595182</v>
      </c>
      <c r="I1183">
        <v>-0.34893987383512998</v>
      </c>
      <c r="J1183">
        <v>-0.47140159275779198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218</v>
      </c>
    </row>
    <row r="1184" spans="1:87" x14ac:dyDescent="0.45">
      <c r="A1184" t="s">
        <v>24</v>
      </c>
      <c r="B1184" t="s">
        <v>3</v>
      </c>
      <c r="C1184" t="s">
        <v>46</v>
      </c>
      <c r="D1184" t="s">
        <v>219</v>
      </c>
      <c r="E1184" t="s">
        <v>217</v>
      </c>
      <c r="F1184">
        <v>0</v>
      </c>
      <c r="G1184">
        <v>-0.14679583253515099</v>
      </c>
      <c r="H1184">
        <v>-0.31312444461033501</v>
      </c>
      <c r="I1184">
        <v>-0.51876976687489396</v>
      </c>
      <c r="J1184">
        <v>-0.71584506702648798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219</v>
      </c>
    </row>
    <row r="1185" spans="1:87" x14ac:dyDescent="0.45">
      <c r="A1185" t="s">
        <v>24</v>
      </c>
      <c r="B1185" t="s">
        <v>3</v>
      </c>
      <c r="C1185" t="s">
        <v>46</v>
      </c>
      <c r="D1185" t="s">
        <v>220</v>
      </c>
      <c r="E1185" t="s">
        <v>217</v>
      </c>
      <c r="F1185">
        <v>0</v>
      </c>
      <c r="G1185">
        <v>-4.9629360453651301E-2</v>
      </c>
      <c r="H1185">
        <v>-9.5913118501145297E-2</v>
      </c>
      <c r="I1185">
        <v>-0.13848219912700999</v>
      </c>
      <c r="J1185">
        <v>-0.18567121085520899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220</v>
      </c>
    </row>
    <row r="1186" spans="1:87" x14ac:dyDescent="0.45">
      <c r="A1186" t="s">
        <v>24</v>
      </c>
      <c r="B1186" t="s">
        <v>3</v>
      </c>
      <c r="C1186" t="s">
        <v>46</v>
      </c>
      <c r="D1186" t="s">
        <v>221</v>
      </c>
      <c r="E1186" t="s">
        <v>217</v>
      </c>
      <c r="F1186">
        <v>0</v>
      </c>
      <c r="G1186">
        <v>-6.4192469559043494E-2</v>
      </c>
      <c r="H1186">
        <v>-0.129895434824434</v>
      </c>
      <c r="I1186">
        <v>-0.19148345166387601</v>
      </c>
      <c r="J1186">
        <v>-0.25925872075237599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221</v>
      </c>
    </row>
    <row r="1187" spans="1:87" x14ac:dyDescent="0.45">
      <c r="A1187" t="s">
        <v>24</v>
      </c>
      <c r="B1187" t="s">
        <v>3</v>
      </c>
      <c r="C1187" t="s">
        <v>46</v>
      </c>
      <c r="D1187" t="s">
        <v>222</v>
      </c>
      <c r="E1187" t="s">
        <v>217</v>
      </c>
      <c r="F1187">
        <v>0</v>
      </c>
      <c r="G1187">
        <v>-8.1409209874516705E-2</v>
      </c>
      <c r="H1187">
        <v>-0.17286494724534399</v>
      </c>
      <c r="I1187">
        <v>-0.28580621092986203</v>
      </c>
      <c r="J1187">
        <v>-0.39664304477005102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222</v>
      </c>
    </row>
    <row r="1188" spans="1:87" x14ac:dyDescent="0.45">
      <c r="A1188" t="s">
        <v>24</v>
      </c>
      <c r="B1188" t="s">
        <v>3</v>
      </c>
      <c r="C1188" t="s">
        <v>46</v>
      </c>
      <c r="D1188" t="s">
        <v>223</v>
      </c>
      <c r="E1188" t="s">
        <v>100</v>
      </c>
      <c r="F1188">
        <v>17759.189999999999</v>
      </c>
      <c r="G1188">
        <v>18278.900000000001</v>
      </c>
      <c r="H1188">
        <v>18916.57</v>
      </c>
      <c r="I1188">
        <v>19609.93</v>
      </c>
      <c r="J1188">
        <v>20294.61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223</v>
      </c>
    </row>
    <row r="1189" spans="1:87" x14ac:dyDescent="0.45">
      <c r="A1189" t="s">
        <v>24</v>
      </c>
      <c r="B1189" t="s">
        <v>3</v>
      </c>
      <c r="C1189" t="s">
        <v>46</v>
      </c>
      <c r="D1189" t="s">
        <v>224</v>
      </c>
      <c r="E1189" t="s">
        <v>100</v>
      </c>
      <c r="F1189">
        <v>17759.189999999999</v>
      </c>
      <c r="G1189">
        <v>18273.63</v>
      </c>
      <c r="H1189">
        <v>18904.57</v>
      </c>
      <c r="I1189">
        <v>19590.740000000002</v>
      </c>
      <c r="J1189">
        <v>20267.23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224</v>
      </c>
    </row>
    <row r="1190" spans="1:87" x14ac:dyDescent="0.45">
      <c r="A1190" t="s">
        <v>24</v>
      </c>
      <c r="B1190" t="s">
        <v>3</v>
      </c>
      <c r="C1190" t="s">
        <v>46</v>
      </c>
      <c r="D1190" t="s">
        <v>225</v>
      </c>
      <c r="E1190" t="s">
        <v>100</v>
      </c>
      <c r="F1190">
        <v>17759.189999999999</v>
      </c>
      <c r="G1190">
        <v>18268.72</v>
      </c>
      <c r="H1190">
        <v>18890.21</v>
      </c>
      <c r="I1190">
        <v>19557.349999999999</v>
      </c>
      <c r="J1190">
        <v>20217.45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225</v>
      </c>
    </row>
    <row r="1191" spans="1:87" x14ac:dyDescent="0.45">
      <c r="A1191" t="s">
        <v>24</v>
      </c>
      <c r="B1191" t="s">
        <v>3</v>
      </c>
      <c r="C1191" t="s">
        <v>46</v>
      </c>
      <c r="D1191" t="s">
        <v>226</v>
      </c>
      <c r="E1191" t="s">
        <v>100</v>
      </c>
      <c r="F1191">
        <v>17759.189999999999</v>
      </c>
      <c r="G1191">
        <v>18286.5</v>
      </c>
      <c r="H1191">
        <v>18931.37</v>
      </c>
      <c r="I1191">
        <v>19632.11</v>
      </c>
      <c r="J1191">
        <v>20325.41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226</v>
      </c>
    </row>
    <row r="1192" spans="1:87" x14ac:dyDescent="0.45">
      <c r="A1192" t="s">
        <v>24</v>
      </c>
      <c r="B1192" t="s">
        <v>3</v>
      </c>
      <c r="C1192" t="s">
        <v>46</v>
      </c>
      <c r="D1192" t="s">
        <v>227</v>
      </c>
      <c r="E1192" t="s">
        <v>100</v>
      </c>
      <c r="F1192">
        <v>17759.189999999999</v>
      </c>
      <c r="G1192">
        <v>18283.84</v>
      </c>
      <c r="H1192">
        <v>18924.93</v>
      </c>
      <c r="I1192">
        <v>19621.689999999999</v>
      </c>
      <c r="J1192">
        <v>20310.43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227</v>
      </c>
    </row>
    <row r="1193" spans="1:87" x14ac:dyDescent="0.45">
      <c r="A1193" t="s">
        <v>24</v>
      </c>
      <c r="B1193" t="s">
        <v>3</v>
      </c>
      <c r="C1193" t="s">
        <v>46</v>
      </c>
      <c r="D1193" t="s">
        <v>228</v>
      </c>
      <c r="E1193" t="s">
        <v>100</v>
      </c>
      <c r="F1193">
        <v>17759.189999999999</v>
      </c>
      <c r="G1193">
        <v>18280.689999999999</v>
      </c>
      <c r="H1193">
        <v>18916.79</v>
      </c>
      <c r="I1193">
        <v>19603.150000000001</v>
      </c>
      <c r="J1193">
        <v>20282.45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228</v>
      </c>
    </row>
    <row r="1194" spans="1:87" x14ac:dyDescent="0.45">
      <c r="A1194" t="s">
        <v>24</v>
      </c>
      <c r="B1194" t="s">
        <v>5</v>
      </c>
      <c r="C1194" t="s">
        <v>46</v>
      </c>
      <c r="D1194" t="s">
        <v>212</v>
      </c>
      <c r="E1194" t="s">
        <v>213</v>
      </c>
      <c r="F1194">
        <v>14.15878</v>
      </c>
      <c r="G1194">
        <v>14.1942</v>
      </c>
      <c r="H1194">
        <v>14.2204</v>
      </c>
      <c r="I1194">
        <v>14.249169999999999</v>
      </c>
      <c r="J1194">
        <v>14.281000000000001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212</v>
      </c>
    </row>
    <row r="1195" spans="1:87" x14ac:dyDescent="0.45">
      <c r="A1195" t="s">
        <v>24</v>
      </c>
      <c r="B1195" t="s">
        <v>5</v>
      </c>
      <c r="C1195" t="s">
        <v>46</v>
      </c>
      <c r="D1195" t="s">
        <v>214</v>
      </c>
      <c r="E1195" t="s">
        <v>213</v>
      </c>
      <c r="F1195">
        <v>14.282310000000001</v>
      </c>
      <c r="G1195">
        <v>14.33127</v>
      </c>
      <c r="H1195">
        <v>14.368399999999999</v>
      </c>
      <c r="I1195">
        <v>14.4095</v>
      </c>
      <c r="J1195">
        <v>14.454000000000001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214</v>
      </c>
    </row>
    <row r="1196" spans="1:87" x14ac:dyDescent="0.45">
      <c r="A1196" t="s">
        <v>24</v>
      </c>
      <c r="B1196" t="s">
        <v>5</v>
      </c>
      <c r="C1196" t="s">
        <v>46</v>
      </c>
      <c r="D1196" t="s">
        <v>215</v>
      </c>
      <c r="E1196" t="s">
        <v>213</v>
      </c>
      <c r="F1196">
        <v>14.42346</v>
      </c>
      <c r="G1196">
        <v>14.475289999999999</v>
      </c>
      <c r="H1196">
        <v>14.53736</v>
      </c>
      <c r="I1196">
        <v>14.614890000000001</v>
      </c>
      <c r="J1196">
        <v>14.6775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215</v>
      </c>
    </row>
    <row r="1197" spans="1:87" x14ac:dyDescent="0.45">
      <c r="A1197" t="s">
        <v>24</v>
      </c>
      <c r="B1197" t="s">
        <v>5</v>
      </c>
      <c r="C1197" t="s">
        <v>46</v>
      </c>
      <c r="D1197" t="s">
        <v>216</v>
      </c>
      <c r="E1197" t="s">
        <v>217</v>
      </c>
      <c r="F1197">
        <v>0</v>
      </c>
      <c r="G1197">
        <v>-9.1219713352441695E-2</v>
      </c>
      <c r="H1197">
        <v>-0.174057910392311</v>
      </c>
      <c r="I1197">
        <v>-0.25129872013135401</v>
      </c>
      <c r="J1197">
        <v>-0.336843221323258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216</v>
      </c>
    </row>
    <row r="1198" spans="1:87" x14ac:dyDescent="0.45">
      <c r="A1198" t="s">
        <v>24</v>
      </c>
      <c r="B1198" t="s">
        <v>5</v>
      </c>
      <c r="C1198" t="s">
        <v>46</v>
      </c>
      <c r="D1198" t="s">
        <v>218</v>
      </c>
      <c r="E1198" t="s">
        <v>217</v>
      </c>
      <c r="F1198">
        <v>0</v>
      </c>
      <c r="G1198">
        <v>-0.12007478129633101</v>
      </c>
      <c r="H1198">
        <v>-0.23758453306702601</v>
      </c>
      <c r="I1198">
        <v>-0.34914864282694602</v>
      </c>
      <c r="J1198">
        <v>-0.471380978915237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218</v>
      </c>
    </row>
    <row r="1199" spans="1:87" x14ac:dyDescent="0.45">
      <c r="A1199" t="s">
        <v>24</v>
      </c>
      <c r="B1199" t="s">
        <v>5</v>
      </c>
      <c r="C1199" t="s">
        <v>46</v>
      </c>
      <c r="D1199" t="s">
        <v>219</v>
      </c>
      <c r="E1199" t="s">
        <v>217</v>
      </c>
      <c r="F1199">
        <v>0</v>
      </c>
      <c r="G1199">
        <v>-0.14691009031875299</v>
      </c>
      <c r="H1199">
        <v>-0.31327129443264901</v>
      </c>
      <c r="I1199">
        <v>-0.51890235670884999</v>
      </c>
      <c r="J1199">
        <v>-0.71578974477697299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219</v>
      </c>
    </row>
    <row r="1200" spans="1:87" x14ac:dyDescent="0.45">
      <c r="A1200" t="s">
        <v>24</v>
      </c>
      <c r="B1200" t="s">
        <v>5</v>
      </c>
      <c r="C1200" t="s">
        <v>46</v>
      </c>
      <c r="D1200" t="s">
        <v>220</v>
      </c>
      <c r="E1200" t="s">
        <v>217</v>
      </c>
      <c r="F1200">
        <v>0</v>
      </c>
      <c r="G1200">
        <v>-4.9650107201470998E-2</v>
      </c>
      <c r="H1200">
        <v>-9.5938754939339801E-2</v>
      </c>
      <c r="I1200">
        <v>-0.13848184562319499</v>
      </c>
      <c r="J1200">
        <v>-0.18561608753091499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220</v>
      </c>
    </row>
    <row r="1201" spans="1:87" x14ac:dyDescent="0.45">
      <c r="A1201" t="s">
        <v>24</v>
      </c>
      <c r="B1201" t="s">
        <v>5</v>
      </c>
      <c r="C1201" t="s">
        <v>46</v>
      </c>
      <c r="D1201" t="s">
        <v>221</v>
      </c>
      <c r="E1201" t="s">
        <v>217</v>
      </c>
      <c r="F1201">
        <v>0</v>
      </c>
      <c r="G1201">
        <v>-6.4229654576519704E-2</v>
      </c>
      <c r="H1201">
        <v>-0.130020313126611</v>
      </c>
      <c r="I1201">
        <v>-0.19160991689245499</v>
      </c>
      <c r="J1201">
        <v>-0.25926098456416902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221</v>
      </c>
    </row>
    <row r="1202" spans="1:87" x14ac:dyDescent="0.45">
      <c r="A1202" t="s">
        <v>24</v>
      </c>
      <c r="B1202" t="s">
        <v>5</v>
      </c>
      <c r="C1202" t="s">
        <v>46</v>
      </c>
      <c r="D1202" t="s">
        <v>222</v>
      </c>
      <c r="E1202" t="s">
        <v>217</v>
      </c>
      <c r="F1202">
        <v>0</v>
      </c>
      <c r="G1202">
        <v>-8.1470533982774804E-2</v>
      </c>
      <c r="H1202">
        <v>-0.17295128103174101</v>
      </c>
      <c r="I1202">
        <v>-0.28588282171145801</v>
      </c>
      <c r="J1202">
        <v>-0.39661769875286601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222</v>
      </c>
    </row>
    <row r="1203" spans="1:87" x14ac:dyDescent="0.45">
      <c r="A1203" t="s">
        <v>24</v>
      </c>
      <c r="B1203" t="s">
        <v>5</v>
      </c>
      <c r="C1203" t="s">
        <v>46</v>
      </c>
      <c r="D1203" t="s">
        <v>223</v>
      </c>
      <c r="E1203" t="s">
        <v>100</v>
      </c>
      <c r="F1203">
        <v>17759.189999999999</v>
      </c>
      <c r="G1203">
        <v>18275.55</v>
      </c>
      <c r="H1203">
        <v>18909.88</v>
      </c>
      <c r="I1203">
        <v>19601.59</v>
      </c>
      <c r="J1203">
        <v>20287.96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223</v>
      </c>
    </row>
    <row r="1204" spans="1:87" x14ac:dyDescent="0.45">
      <c r="A1204" t="s">
        <v>24</v>
      </c>
      <c r="B1204" t="s">
        <v>5</v>
      </c>
      <c r="C1204" t="s">
        <v>46</v>
      </c>
      <c r="D1204" t="s">
        <v>224</v>
      </c>
      <c r="E1204" t="s">
        <v>100</v>
      </c>
      <c r="F1204">
        <v>17759.189999999999</v>
      </c>
      <c r="G1204">
        <v>18270.27</v>
      </c>
      <c r="H1204">
        <v>18897.849999999999</v>
      </c>
      <c r="I1204">
        <v>19582.36</v>
      </c>
      <c r="J1204">
        <v>20260.57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224</v>
      </c>
    </row>
    <row r="1205" spans="1:87" x14ac:dyDescent="0.45">
      <c r="A1205" t="s">
        <v>24</v>
      </c>
      <c r="B1205" t="s">
        <v>5</v>
      </c>
      <c r="C1205" t="s">
        <v>46</v>
      </c>
      <c r="D1205" t="s">
        <v>225</v>
      </c>
      <c r="E1205" t="s">
        <v>100</v>
      </c>
      <c r="F1205">
        <v>17759.189999999999</v>
      </c>
      <c r="G1205">
        <v>18265.36</v>
      </c>
      <c r="H1205">
        <v>18883.509999999998</v>
      </c>
      <c r="I1205">
        <v>19549.009999999998</v>
      </c>
      <c r="J1205">
        <v>20210.82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225</v>
      </c>
    </row>
    <row r="1206" spans="1:87" x14ac:dyDescent="0.45">
      <c r="A1206" t="s">
        <v>24</v>
      </c>
      <c r="B1206" t="s">
        <v>5</v>
      </c>
      <c r="C1206" t="s">
        <v>46</v>
      </c>
      <c r="D1206" t="s">
        <v>226</v>
      </c>
      <c r="E1206" t="s">
        <v>100</v>
      </c>
      <c r="F1206">
        <v>17759.189999999999</v>
      </c>
      <c r="G1206">
        <v>18283.150000000001</v>
      </c>
      <c r="H1206">
        <v>18924.68</v>
      </c>
      <c r="I1206">
        <v>19623.759999999998</v>
      </c>
      <c r="J1206">
        <v>20318.75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226</v>
      </c>
    </row>
    <row r="1207" spans="1:87" x14ac:dyDescent="0.45">
      <c r="A1207" t="s">
        <v>24</v>
      </c>
      <c r="B1207" t="s">
        <v>5</v>
      </c>
      <c r="C1207" t="s">
        <v>46</v>
      </c>
      <c r="D1207" t="s">
        <v>227</v>
      </c>
      <c r="E1207" t="s">
        <v>100</v>
      </c>
      <c r="F1207">
        <v>17759.189999999999</v>
      </c>
      <c r="G1207">
        <v>18280.490000000002</v>
      </c>
      <c r="H1207">
        <v>18918.22</v>
      </c>
      <c r="I1207">
        <v>19613.32</v>
      </c>
      <c r="J1207">
        <v>20303.75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227</v>
      </c>
    </row>
    <row r="1208" spans="1:87" x14ac:dyDescent="0.45">
      <c r="A1208" t="s">
        <v>24</v>
      </c>
      <c r="B1208" t="s">
        <v>5</v>
      </c>
      <c r="C1208" t="s">
        <v>46</v>
      </c>
      <c r="D1208" t="s">
        <v>228</v>
      </c>
      <c r="E1208" t="s">
        <v>100</v>
      </c>
      <c r="F1208">
        <v>17759.189999999999</v>
      </c>
      <c r="G1208">
        <v>18277.330000000002</v>
      </c>
      <c r="H1208">
        <v>18910.09</v>
      </c>
      <c r="I1208">
        <v>19594.8</v>
      </c>
      <c r="J1208">
        <v>20275.79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228</v>
      </c>
    </row>
    <row r="1209" spans="1:87" x14ac:dyDescent="0.45">
      <c r="A1209" t="s">
        <v>24</v>
      </c>
      <c r="B1209" t="s">
        <v>0</v>
      </c>
      <c r="C1209" t="s">
        <v>46</v>
      </c>
      <c r="D1209" t="s">
        <v>229</v>
      </c>
      <c r="E1209" t="s">
        <v>100</v>
      </c>
      <c r="F1209">
        <v>17759.189999999999</v>
      </c>
      <c r="G1209">
        <v>18272.68</v>
      </c>
      <c r="H1209">
        <v>18900.09</v>
      </c>
      <c r="I1209">
        <v>19573.97</v>
      </c>
      <c r="J1209">
        <v>20241.330000000002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229</v>
      </c>
    </row>
    <row r="1210" spans="1:87" x14ac:dyDescent="0.45">
      <c r="A1210" t="s">
        <v>24</v>
      </c>
      <c r="B1210" t="s">
        <v>0</v>
      </c>
      <c r="C1210" t="s">
        <v>46</v>
      </c>
      <c r="D1210" t="s">
        <v>230</v>
      </c>
      <c r="E1210" t="s">
        <v>100</v>
      </c>
      <c r="F1210">
        <v>17759.189699999999</v>
      </c>
      <c r="G1210">
        <v>18287.703087396701</v>
      </c>
      <c r="H1210">
        <v>18934.112130073801</v>
      </c>
      <c r="I1210">
        <v>19637.149119950202</v>
      </c>
      <c r="J1210">
        <v>20332.822396923799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230</v>
      </c>
    </row>
    <row r="1211" spans="1:87" x14ac:dyDescent="0.45">
      <c r="A1211" t="s">
        <v>24</v>
      </c>
      <c r="B1211" t="s">
        <v>6</v>
      </c>
      <c r="C1211" t="s">
        <v>46</v>
      </c>
      <c r="D1211" t="s">
        <v>229</v>
      </c>
      <c r="E1211" t="s">
        <v>100</v>
      </c>
      <c r="F1211">
        <v>17759.189999999999</v>
      </c>
      <c r="G1211">
        <v>18270.78</v>
      </c>
      <c r="H1211">
        <v>18899.259999999998</v>
      </c>
      <c r="I1211">
        <v>19579.3</v>
      </c>
      <c r="J1211">
        <v>20252.900000000001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229</v>
      </c>
    </row>
    <row r="1212" spans="1:87" x14ac:dyDescent="0.45">
      <c r="A1212" t="s">
        <v>24</v>
      </c>
      <c r="B1212" t="s">
        <v>6</v>
      </c>
      <c r="C1212" t="s">
        <v>46</v>
      </c>
      <c r="D1212" t="s">
        <v>230</v>
      </c>
      <c r="E1212" t="s">
        <v>100</v>
      </c>
      <c r="F1212">
        <v>17759.189699999999</v>
      </c>
      <c r="G1212">
        <v>18287.8851141784</v>
      </c>
      <c r="H1212">
        <v>18933.8756616303</v>
      </c>
      <c r="I1212">
        <v>19634.622149321702</v>
      </c>
      <c r="J1212">
        <v>20329.154629223802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230</v>
      </c>
    </row>
    <row r="1213" spans="1:87" x14ac:dyDescent="0.45">
      <c r="A1213" t="s">
        <v>24</v>
      </c>
      <c r="B1213" t="s">
        <v>4</v>
      </c>
      <c r="C1213" t="s">
        <v>46</v>
      </c>
      <c r="D1213" t="s">
        <v>229</v>
      </c>
      <c r="E1213" t="s">
        <v>100</v>
      </c>
      <c r="F1213">
        <v>17759.189999999999</v>
      </c>
      <c r="G1213">
        <v>18270.599999999999</v>
      </c>
      <c r="H1213">
        <v>18898.97</v>
      </c>
      <c r="I1213">
        <v>19578.88</v>
      </c>
      <c r="J1213">
        <v>20252.55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229</v>
      </c>
    </row>
    <row r="1214" spans="1:87" x14ac:dyDescent="0.45">
      <c r="A1214" t="s">
        <v>24</v>
      </c>
      <c r="B1214" t="s">
        <v>4</v>
      </c>
      <c r="C1214" t="s">
        <v>46</v>
      </c>
      <c r="D1214" t="s">
        <v>230</v>
      </c>
      <c r="E1214" t="s">
        <v>100</v>
      </c>
      <c r="F1214">
        <v>17759.189699999999</v>
      </c>
      <c r="G1214">
        <v>18287.781969761101</v>
      </c>
      <c r="H1214">
        <v>18933.645414875398</v>
      </c>
      <c r="I1214">
        <v>19634.2028913289</v>
      </c>
      <c r="J1214">
        <v>20328.708016607699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230</v>
      </c>
    </row>
    <row r="1215" spans="1:87" x14ac:dyDescent="0.45">
      <c r="A1215" t="s">
        <v>24</v>
      </c>
      <c r="B1215" t="s">
        <v>2</v>
      </c>
      <c r="C1215" t="s">
        <v>46</v>
      </c>
      <c r="D1215" t="s">
        <v>229</v>
      </c>
      <c r="E1215" t="s">
        <v>100</v>
      </c>
      <c r="F1215">
        <v>17759.189999999999</v>
      </c>
      <c r="G1215">
        <v>18265.77</v>
      </c>
      <c r="H1215">
        <v>18887.310000000001</v>
      </c>
      <c r="I1215">
        <v>19560.13</v>
      </c>
      <c r="J1215">
        <v>20227.41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229</v>
      </c>
    </row>
    <row r="1216" spans="1:87" x14ac:dyDescent="0.45">
      <c r="A1216" t="s">
        <v>24</v>
      </c>
      <c r="B1216" t="s">
        <v>2</v>
      </c>
      <c r="C1216" t="s">
        <v>46</v>
      </c>
      <c r="D1216" t="s">
        <v>230</v>
      </c>
      <c r="E1216" t="s">
        <v>100</v>
      </c>
      <c r="F1216">
        <v>17759.189699999999</v>
      </c>
      <c r="G1216">
        <v>18282.9494228074</v>
      </c>
      <c r="H1216">
        <v>18922.5408449157</v>
      </c>
      <c r="I1216">
        <v>19616.477499616001</v>
      </c>
      <c r="J1216">
        <v>20304.6187591528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230</v>
      </c>
    </row>
    <row r="1217" spans="1:87" x14ac:dyDescent="0.45">
      <c r="A1217" t="s">
        <v>24</v>
      </c>
      <c r="B1217" t="s">
        <v>1</v>
      </c>
      <c r="C1217" t="s">
        <v>46</v>
      </c>
      <c r="D1217" t="s">
        <v>229</v>
      </c>
      <c r="E1217" t="s">
        <v>100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229</v>
      </c>
    </row>
    <row r="1218" spans="1:87" x14ac:dyDescent="0.45">
      <c r="A1218" t="s">
        <v>24</v>
      </c>
      <c r="B1218" t="s">
        <v>1</v>
      </c>
      <c r="C1218" t="s">
        <v>46</v>
      </c>
      <c r="D1218" t="s">
        <v>230</v>
      </c>
      <c r="E1218" t="s">
        <v>100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230</v>
      </c>
    </row>
    <row r="1219" spans="1:87" x14ac:dyDescent="0.45">
      <c r="A1219" t="s">
        <v>24</v>
      </c>
      <c r="B1219" t="s">
        <v>3</v>
      </c>
      <c r="C1219" t="s">
        <v>46</v>
      </c>
      <c r="D1219" t="s">
        <v>229</v>
      </c>
      <c r="E1219" t="s">
        <v>100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229</v>
      </c>
    </row>
    <row r="1220" spans="1:87" x14ac:dyDescent="0.45">
      <c r="A1220" t="s">
        <v>24</v>
      </c>
      <c r="B1220" t="s">
        <v>3</v>
      </c>
      <c r="C1220" t="s">
        <v>46</v>
      </c>
      <c r="D1220" t="s">
        <v>230</v>
      </c>
      <c r="E1220" t="s">
        <v>100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230</v>
      </c>
    </row>
    <row r="1221" spans="1:87" x14ac:dyDescent="0.45">
      <c r="A1221" t="s">
        <v>24</v>
      </c>
      <c r="B1221" t="s">
        <v>5</v>
      </c>
      <c r="C1221" t="s">
        <v>46</v>
      </c>
      <c r="D1221" t="s">
        <v>229</v>
      </c>
      <c r="E1221" t="s">
        <v>100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229</v>
      </c>
    </row>
    <row r="1222" spans="1:87" x14ac:dyDescent="0.45">
      <c r="A1222" t="s">
        <v>24</v>
      </c>
      <c r="B1222" t="s">
        <v>5</v>
      </c>
      <c r="C1222" t="s">
        <v>46</v>
      </c>
      <c r="D1222" t="s">
        <v>230</v>
      </c>
      <c r="E1222" t="s">
        <v>100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>
      <selection activeCell="N27" sqref="N27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231</v>
      </c>
    </row>
    <row r="2" spans="1:25" x14ac:dyDescent="0.45">
      <c r="A2" s="8" t="s">
        <v>232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35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37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233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234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39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235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236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237</v>
      </c>
    </row>
    <row r="16" spans="1:25" x14ac:dyDescent="0.45">
      <c r="A16" s="8" t="s">
        <v>232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35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37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238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233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234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39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235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236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239</v>
      </c>
    </row>
    <row r="31" spans="1:25" x14ac:dyDescent="0.45">
      <c r="A31" s="8" t="s">
        <v>232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240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33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35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37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233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234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39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235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236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241</v>
      </c>
    </row>
    <row r="45" spans="1:25" x14ac:dyDescent="0.45">
      <c r="A45" s="8" t="s">
        <v>232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240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33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35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37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238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233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234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39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235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236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242</v>
      </c>
    </row>
    <row r="60" spans="1:25" x14ac:dyDescent="0.45">
      <c r="A60" s="8" t="s">
        <v>232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35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37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233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234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39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235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236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243</v>
      </c>
    </row>
    <row r="72" spans="1:26" x14ac:dyDescent="0.45">
      <c r="A72" s="8" t="s">
        <v>232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35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37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238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233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234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39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235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236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244</v>
      </c>
    </row>
    <row r="86" spans="1:26" x14ac:dyDescent="0.45">
      <c r="A86" s="8" t="s">
        <v>245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46</v>
      </c>
      <c r="B87" t="s">
        <v>246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46</v>
      </c>
      <c r="B88" t="s">
        <v>247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facets_prices</vt:lpstr>
      <vt:lpstr>facets_production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2025-08-03T14:38:30Z</dcterms:modified>
</cp:coreProperties>
</file>