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ingxi Zhao\Desktop\"/>
    </mc:Choice>
  </mc:AlternateContent>
  <bookViews>
    <workbookView xWindow="0" yWindow="0" windowWidth="17832" windowHeight="7920" tabRatio="970"/>
  </bookViews>
  <sheets>
    <sheet name="GHG emissions calculator" sheetId="7" r:id="rId1"/>
    <sheet name="Emissions Calculations by year" sheetId="4" state="hidden" r:id="rId2"/>
    <sheet name="Emission Factors" sheetId="1" state="hidden" r:id="rId3"/>
    <sheet name="Taxis" sheetId="6" state="hidden" r:id="rId4"/>
  </sheets>
  <calcPr calcId="162913"/>
</workbook>
</file>

<file path=xl/calcChain.xml><?xml version="1.0" encoding="utf-8"?>
<calcChain xmlns="http://schemas.openxmlformats.org/spreadsheetml/2006/main">
  <c r="G46" i="1" l="1"/>
  <c r="F46" i="1"/>
  <c r="E46" i="1"/>
  <c r="G45" i="1"/>
  <c r="F45" i="1"/>
  <c r="E45" i="1"/>
  <c r="G44" i="1"/>
  <c r="F44" i="1"/>
  <c r="E44" i="1"/>
  <c r="G43" i="1"/>
  <c r="F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G32" i="1"/>
  <c r="G31" i="1"/>
  <c r="L47" i="1"/>
  <c r="L48" i="1" s="1"/>
  <c r="K47" i="1"/>
  <c r="F47" i="1" s="1"/>
  <c r="K48" i="1"/>
  <c r="K33" i="1"/>
  <c r="K32" i="1" s="1"/>
  <c r="M20" i="1"/>
  <c r="E20" i="1"/>
  <c r="M19" i="1"/>
  <c r="E19" i="1"/>
  <c r="M18" i="1"/>
  <c r="E18" i="1"/>
  <c r="M17" i="1"/>
  <c r="E17" i="1"/>
  <c r="M16" i="1"/>
  <c r="E16" i="1"/>
  <c r="M15" i="1"/>
  <c r="E15" i="1"/>
  <c r="M14" i="1"/>
  <c r="E14" i="1"/>
  <c r="M13" i="1"/>
  <c r="E13" i="1"/>
  <c r="M12" i="1"/>
  <c r="E12" i="4" s="1"/>
  <c r="D28" i="7" s="1"/>
  <c r="E12" i="1"/>
  <c r="M11" i="1"/>
  <c r="E11" i="1"/>
  <c r="M10" i="1"/>
  <c r="E10" i="1"/>
  <c r="M9" i="1"/>
  <c r="E8" i="4"/>
  <c r="D22" i="7" s="1"/>
  <c r="E9" i="1"/>
  <c r="M8" i="1"/>
  <c r="E8" i="1"/>
  <c r="M7" i="1"/>
  <c r="E7" i="1"/>
  <c r="E7" i="4" s="1"/>
  <c r="D21" i="7" s="1"/>
  <c r="D23" i="7" s="1"/>
  <c r="M6" i="1"/>
  <c r="E6" i="1"/>
  <c r="M5" i="1"/>
  <c r="E5" i="1"/>
  <c r="C12" i="4"/>
  <c r="C11" i="4"/>
  <c r="C8" i="4"/>
  <c r="C7" i="4"/>
  <c r="C6" i="4"/>
  <c r="C14" i="4"/>
  <c r="E6" i="4"/>
  <c r="D20" i="7" s="1"/>
  <c r="E11" i="4"/>
  <c r="D27" i="7" s="1"/>
  <c r="I23" i="6"/>
  <c r="K3" i="6"/>
  <c r="K4" i="6"/>
  <c r="K5" i="6"/>
  <c r="K6" i="6"/>
  <c r="K7" i="6"/>
  <c r="K8" i="6"/>
  <c r="K9" i="6"/>
  <c r="I25" i="6" s="1"/>
  <c r="K10" i="6"/>
  <c r="K11" i="6"/>
  <c r="K12" i="6"/>
  <c r="K13" i="6"/>
  <c r="K14" i="6"/>
  <c r="K2" i="6"/>
  <c r="Q3" i="6"/>
  <c r="Q4" i="6" s="1"/>
  <c r="R2" i="6"/>
  <c r="D12" i="4"/>
  <c r="C28" i="7" s="1"/>
  <c r="H16" i="6"/>
  <c r="C19" i="6"/>
  <c r="D19" i="6"/>
  <c r="E19" i="6"/>
  <c r="F19" i="6"/>
  <c r="G19" i="6"/>
  <c r="H19" i="6"/>
  <c r="B19" i="6"/>
  <c r="C18" i="6"/>
  <c r="C20" i="6"/>
  <c r="D18" i="6"/>
  <c r="D20" i="6" s="1"/>
  <c r="E18" i="6"/>
  <c r="E20" i="6" s="1"/>
  <c r="F18" i="6"/>
  <c r="F20" i="6" s="1"/>
  <c r="G18" i="6"/>
  <c r="G20" i="6" s="1"/>
  <c r="H18" i="6"/>
  <c r="H20" i="6"/>
  <c r="B18" i="6"/>
  <c r="B20" i="6" s="1"/>
  <c r="D7" i="4"/>
  <c r="C21" i="7" s="1"/>
  <c r="D8" i="4"/>
  <c r="C22" i="7" s="1"/>
  <c r="I12" i="4"/>
  <c r="G12" i="4"/>
  <c r="H11" i="4"/>
  <c r="I8" i="4"/>
  <c r="I6" i="4"/>
  <c r="G6" i="4"/>
  <c r="D14" i="4"/>
  <c r="E14" i="4"/>
  <c r="I14" i="4"/>
  <c r="D6" i="4"/>
  <c r="D11" i="4"/>
  <c r="C27" i="7" s="1"/>
  <c r="F6" i="4"/>
  <c r="E20" i="7" s="1"/>
  <c r="F7" i="4"/>
  <c r="E21" i="7" s="1"/>
  <c r="F8" i="4"/>
  <c r="E22" i="7" s="1"/>
  <c r="F11" i="4"/>
  <c r="E27" i="7" s="1"/>
  <c r="I11" i="4"/>
  <c r="G11" i="4"/>
  <c r="H8" i="4"/>
  <c r="I7" i="4"/>
  <c r="G7" i="4"/>
  <c r="C20" i="7"/>
  <c r="F32" i="1" l="1"/>
  <c r="E32" i="1"/>
  <c r="K31" i="1"/>
  <c r="G10" i="4"/>
  <c r="E33" i="1"/>
  <c r="I10" i="4"/>
  <c r="I24" i="6"/>
  <c r="F33" i="1"/>
  <c r="E47" i="1"/>
  <c r="Q5" i="6"/>
  <c r="R4" i="6"/>
  <c r="U4" i="6" s="1"/>
  <c r="G48" i="1"/>
  <c r="L49" i="1"/>
  <c r="F48" i="1"/>
  <c r="E48" i="1"/>
  <c r="F10" i="4"/>
  <c r="E26" i="7" s="1"/>
  <c r="R3" i="6"/>
  <c r="G47" i="1"/>
  <c r="E10" i="4"/>
  <c r="D26" i="7" s="1"/>
  <c r="D29" i="7" s="1"/>
  <c r="H6" i="4"/>
  <c r="H10" i="4" s="1"/>
  <c r="F14" i="4"/>
  <c r="G8" i="4"/>
  <c r="G14" i="4"/>
  <c r="H14" i="4"/>
  <c r="H7" i="4"/>
  <c r="F12" i="4"/>
  <c r="E28" i="7" s="1"/>
  <c r="H12" i="4"/>
  <c r="K49" i="1"/>
  <c r="F27" i="7"/>
  <c r="C10" i="4"/>
  <c r="F20" i="7"/>
  <c r="E23" i="7"/>
  <c r="F22" i="7"/>
  <c r="C23" i="7"/>
  <c r="F21" i="7"/>
  <c r="F28" i="7"/>
  <c r="D10" i="4"/>
  <c r="C26" i="7" s="1"/>
  <c r="F31" i="1" l="1"/>
  <c r="E31" i="1"/>
  <c r="F23" i="7"/>
  <c r="R5" i="6"/>
  <c r="U5" i="6" s="1"/>
  <c r="Q6" i="6"/>
  <c r="U3" i="6"/>
  <c r="E29" i="7"/>
  <c r="L50" i="1"/>
  <c r="G49" i="1"/>
  <c r="E49" i="1"/>
  <c r="K50" i="1"/>
  <c r="F49" i="1"/>
  <c r="C29" i="7"/>
  <c r="F26" i="7"/>
  <c r="F29" i="7" l="1"/>
  <c r="R6" i="6"/>
  <c r="Q7" i="6"/>
  <c r="F50" i="1"/>
  <c r="E50" i="1"/>
  <c r="K51" i="1"/>
  <c r="G50" i="1"/>
  <c r="L51" i="1"/>
  <c r="Q8" i="6" l="1"/>
  <c r="R7" i="6"/>
  <c r="U7" i="6" s="1"/>
  <c r="U6" i="6"/>
  <c r="L52" i="1"/>
  <c r="G51" i="1"/>
  <c r="F51" i="1"/>
  <c r="K52" i="1"/>
  <c r="E51" i="1"/>
  <c r="G52" i="1" l="1"/>
  <c r="L53" i="1"/>
  <c r="Q9" i="6"/>
  <c r="R8" i="6"/>
  <c r="K53" i="1"/>
  <c r="F52" i="1"/>
  <c r="E52" i="1"/>
  <c r="F53" i="1" l="1"/>
  <c r="K54" i="1"/>
  <c r="E53" i="1"/>
  <c r="U8" i="6"/>
  <c r="Q10" i="6"/>
  <c r="R9" i="6"/>
  <c r="U9" i="6" s="1"/>
  <c r="G53" i="1"/>
  <c r="L54" i="1"/>
  <c r="E54" i="1" l="1"/>
  <c r="K55" i="1"/>
  <c r="F54" i="1"/>
  <c r="G54" i="1"/>
  <c r="L55" i="1"/>
  <c r="R10" i="6"/>
  <c r="Q11" i="6"/>
  <c r="L56" i="1" l="1"/>
  <c r="G55" i="1"/>
  <c r="E55" i="1"/>
  <c r="K56" i="1"/>
  <c r="F55" i="1"/>
  <c r="Q12" i="6"/>
  <c r="R11" i="6"/>
  <c r="U11" i="6" s="1"/>
  <c r="U10" i="6"/>
  <c r="G56" i="1" l="1"/>
  <c r="L57" i="1"/>
  <c r="Q13" i="6"/>
  <c r="R12" i="6"/>
  <c r="F56" i="1"/>
  <c r="E56" i="1"/>
  <c r="K57" i="1"/>
  <c r="U12" i="6" l="1"/>
  <c r="R13" i="6"/>
  <c r="U13" i="6" s="1"/>
  <c r="Q14" i="6"/>
  <c r="L58" i="1"/>
  <c r="G57" i="1"/>
  <c r="F57" i="1"/>
  <c r="E57" i="1"/>
  <c r="K58" i="1"/>
  <c r="G58" i="1" l="1"/>
  <c r="L59" i="1"/>
  <c r="G59" i="1" s="1"/>
  <c r="F58" i="1"/>
  <c r="E58" i="1"/>
  <c r="K59" i="1"/>
  <c r="S13" i="6"/>
  <c r="R14" i="6"/>
  <c r="Q15" i="6"/>
  <c r="R15" i="6" l="1"/>
  <c r="Q16" i="6"/>
  <c r="U14" i="6"/>
  <c r="T14" i="6"/>
  <c r="F59" i="1"/>
  <c r="E59" i="1"/>
  <c r="Q17" i="6" l="1"/>
  <c r="R16" i="6"/>
  <c r="U15" i="6"/>
  <c r="T15" i="6"/>
  <c r="U16" i="6" l="1"/>
  <c r="T16" i="6"/>
  <c r="R17" i="6"/>
  <c r="Q18" i="6"/>
  <c r="R18" i="6" l="1"/>
  <c r="Q19" i="6"/>
  <c r="U17" i="6"/>
  <c r="T17" i="6"/>
  <c r="R19" i="6" l="1"/>
  <c r="Q20" i="6"/>
  <c r="U18" i="6"/>
  <c r="T18" i="6"/>
  <c r="R20" i="6" l="1"/>
  <c r="Q21" i="6"/>
  <c r="U19" i="6"/>
  <c r="T19" i="6"/>
  <c r="R21" i="6" l="1"/>
  <c r="Q22" i="6"/>
  <c r="U20" i="6"/>
  <c r="T20" i="6"/>
  <c r="Q23" i="6" l="1"/>
  <c r="R22" i="6"/>
  <c r="U21" i="6"/>
  <c r="T21" i="6"/>
  <c r="U22" i="6" l="1"/>
  <c r="T22" i="6"/>
  <c r="R23" i="6"/>
  <c r="Q24" i="6"/>
  <c r="T23" i="6" l="1"/>
  <c r="U23" i="6"/>
  <c r="R24" i="6"/>
  <c r="Q25" i="6"/>
  <c r="Q26" i="6" l="1"/>
  <c r="R25" i="6"/>
  <c r="U24" i="6"/>
  <c r="T24" i="6"/>
  <c r="U25" i="6" l="1"/>
  <c r="T25" i="6"/>
  <c r="S25" i="6"/>
  <c r="R26" i="6"/>
  <c r="Q27" i="6"/>
  <c r="R27" i="6" l="1"/>
  <c r="Q28" i="6"/>
  <c r="T26" i="6"/>
  <c r="U26" i="6"/>
  <c r="R28" i="6" l="1"/>
  <c r="Q29" i="6"/>
  <c r="T27" i="6"/>
  <c r="U27" i="6"/>
  <c r="R29" i="6" l="1"/>
  <c r="Q30" i="6"/>
  <c r="U28" i="6"/>
  <c r="T28" i="6"/>
  <c r="Q31" i="6" l="1"/>
  <c r="R30" i="6"/>
  <c r="T29" i="6"/>
  <c r="U29" i="6"/>
  <c r="U30" i="6" l="1"/>
  <c r="T30" i="6"/>
  <c r="R31" i="6"/>
  <c r="Q32" i="6"/>
  <c r="Q33" i="6" l="1"/>
  <c r="R32" i="6"/>
  <c r="T31" i="6"/>
  <c r="U31" i="6"/>
  <c r="T32" i="6" l="1"/>
  <c r="U32" i="6"/>
  <c r="Q34" i="6"/>
  <c r="R34" i="6" s="1"/>
  <c r="R33" i="6"/>
  <c r="U33" i="6" l="1"/>
  <c r="T33" i="6"/>
  <c r="T34" i="6"/>
  <c r="U34" i="6"/>
</calcChain>
</file>

<file path=xl/sharedStrings.xml><?xml version="1.0" encoding="utf-8"?>
<sst xmlns="http://schemas.openxmlformats.org/spreadsheetml/2006/main" count="208" uniqueCount="117">
  <si>
    <t>Truck</t>
  </si>
  <si>
    <t>Urban Restricted</t>
  </si>
  <si>
    <t>Urban Unrestricted</t>
  </si>
  <si>
    <t>Year</t>
  </si>
  <si>
    <t>Passenger Vehicle</t>
  </si>
  <si>
    <t>Motorcycle</t>
  </si>
  <si>
    <t xml:space="preserve"> Intercity Bus</t>
  </si>
  <si>
    <t xml:space="preserve"> Transit Bus</t>
  </si>
  <si>
    <t xml:space="preserve"> School Bus</t>
  </si>
  <si>
    <t>Intercity Bus</t>
  </si>
  <si>
    <t>Transit Bus</t>
  </si>
  <si>
    <t>School Bus</t>
  </si>
  <si>
    <t>year</t>
  </si>
  <si>
    <r>
      <t>Average Emmission Rate (grams CO</t>
    </r>
    <r>
      <rPr>
        <b/>
        <vertAlign val="subscript"/>
        <sz val="12"/>
        <color indexed="8"/>
        <rFont val="Calibri"/>
        <family val="2"/>
      </rPr>
      <t>2</t>
    </r>
    <r>
      <rPr>
        <b/>
        <sz val="12"/>
        <color indexed="8"/>
        <rFont val="Calibri"/>
        <family val="2"/>
      </rPr>
      <t>e/mile)</t>
    </r>
  </si>
  <si>
    <t>(with Gasoline and Diesel fuel mix applied)</t>
  </si>
  <si>
    <t>Taxi</t>
  </si>
  <si>
    <t>Ford Escape Hybrid</t>
  </si>
  <si>
    <t>Mercury Mariner Hybrid</t>
  </si>
  <si>
    <t>Mazda Tribute Hybrid</t>
  </si>
  <si>
    <t>Honda Civic Hybrid</t>
  </si>
  <si>
    <t>Nissan Altima Hybrid</t>
  </si>
  <si>
    <t>Saturn Vue Hybrid</t>
  </si>
  <si>
    <t>Toyota Prius Hybrid</t>
  </si>
  <si>
    <t>Toyota Camry Hybrid</t>
  </si>
  <si>
    <t>MY</t>
  </si>
  <si>
    <t>Model</t>
  </si>
  <si>
    <t>Asumes 2WD</t>
  </si>
  <si>
    <t>mpg Hwy</t>
  </si>
  <si>
    <t>Auto 4-speed (CVT is 27/30)</t>
  </si>
  <si>
    <t>Taxi (non-hybrid)</t>
  </si>
  <si>
    <t>Restricted</t>
  </si>
  <si>
    <t>Unrestricted</t>
  </si>
  <si>
    <t>Hybrid</t>
  </si>
  <si>
    <t>fraction of fleet</t>
  </si>
  <si>
    <t>fraction reduction</t>
  </si>
  <si>
    <t>March</t>
  </si>
  <si>
    <t>April</t>
  </si>
  <si>
    <t>May</t>
  </si>
  <si>
    <t>June</t>
  </si>
  <si>
    <t>July</t>
  </si>
  <si>
    <t>August</t>
  </si>
  <si>
    <t xml:space="preserve">Toyota Highlander Hybrid </t>
  </si>
  <si>
    <t>Chevy Malibu Hybrid</t>
  </si>
  <si>
    <t>Volkswagen Jetta Clean Diesel</t>
  </si>
  <si>
    <t>Lexus RX400H hybrid</t>
  </si>
  <si>
    <t>Subtotal Clean Vehicles</t>
  </si>
  <si>
    <t>Ford Crown Victoria</t>
  </si>
  <si>
    <t>Toyota Sienna Minivan</t>
  </si>
  <si>
    <t>Dodge Caravan</t>
  </si>
  <si>
    <t>Honda Odyssey Minivan</t>
  </si>
  <si>
    <t>Other</t>
  </si>
  <si>
    <t>Total</t>
  </si>
  <si>
    <t>other</t>
  </si>
  <si>
    <t>Hybrids</t>
  </si>
  <si>
    <t>Average Speed (mph)</t>
  </si>
  <si>
    <t>Start</t>
  </si>
  <si>
    <t xml:space="preserve">   Light-Duty Stock 6/</t>
  </si>
  <si>
    <t xml:space="preserve">   Stock Commercial Light Truck 1/</t>
  </si>
  <si>
    <t xml:space="preserve">   Freight Truck</t>
  </si>
  <si>
    <t xml:space="preserve">US DOE/EIA Annual Energy Outlook, 2010 (preliminary), http://www.eia.doe.gov/oiaf/aeo/excel/aeotab_7.xls </t>
  </si>
  <si>
    <t>2010 Ratio</t>
  </si>
  <si>
    <t>NYC Taxi Fleet</t>
  </si>
  <si>
    <t>Sep</t>
  </si>
  <si>
    <t>Aug</t>
  </si>
  <si>
    <t>&lt;--2nd hybrid ruling (incentives not allowed)</t>
  </si>
  <si>
    <t>Jul</t>
  </si>
  <si>
    <t>Jun</t>
  </si>
  <si>
    <t>Apr</t>
  </si>
  <si>
    <t>Mar</t>
  </si>
  <si>
    <t>Feb</t>
  </si>
  <si>
    <t>Jan</t>
  </si>
  <si>
    <t>Dec</t>
  </si>
  <si>
    <t>Nov</t>
  </si>
  <si>
    <t>Oct</t>
  </si>
  <si>
    <t>Sept</t>
  </si>
  <si>
    <t>87 sold in 2008</t>
  </si>
  <si>
    <t>63 medallions sold in 2007</t>
  </si>
  <si>
    <t>Today – 13,237</t>
  </si>
  <si>
    <t>January 2007- 13,087</t>
  </si>
  <si>
    <t>monthly change</t>
  </si>
  <si>
    <t>annual change</t>
  </si>
  <si>
    <t>annual average fraction</t>
  </si>
  <si>
    <t>fraction of total</t>
  </si>
  <si>
    <t>total # (estimate)</t>
  </si>
  <si>
    <t># clean air taxis</t>
  </si>
  <si>
    <t>2009 data from NYC</t>
  </si>
  <si>
    <r>
      <rPr>
        <b/>
        <i/>
        <sz val="11"/>
        <color indexed="8"/>
        <rFont val="Calibri"/>
        <family val="2"/>
      </rPr>
      <t>Source:</t>
    </r>
    <r>
      <rPr>
        <i/>
        <sz val="11"/>
        <color indexed="8"/>
        <rFont val="Calibri"/>
        <family val="2"/>
      </rPr>
      <t xml:space="preserve"> http://www.epa.gov/greenvehicles/Index.do</t>
    </r>
  </si>
  <si>
    <t>data from NYC</t>
  </si>
  <si>
    <t>Models not in use:</t>
  </si>
  <si>
    <t>55/45</t>
  </si>
  <si>
    <t>MY-Average Fuel Efficiency (mpg)</t>
  </si>
  <si>
    <t>EPA Rated New Car</t>
  </si>
  <si>
    <t>Average EPA rated new car 2009:</t>
  </si>
  <si>
    <t>EPA rated mpg city</t>
  </si>
  <si>
    <t>Average New Taxi:</t>
  </si>
  <si>
    <t>Average New Clean Taxi:</t>
  </si>
  <si>
    <t>Emissions (g/mile):</t>
  </si>
  <si>
    <t>Local</t>
  </si>
  <si>
    <t>Arterial</t>
  </si>
  <si>
    <t>Int/Exp</t>
  </si>
  <si>
    <t>*Representative speeds, based on DEC SIP data</t>
  </si>
  <si>
    <t>Average Speed* (mph)</t>
  </si>
  <si>
    <r>
      <t>Average Start Emmission (grams CO</t>
    </r>
    <r>
      <rPr>
        <b/>
        <vertAlign val="subscript"/>
        <sz val="12"/>
        <color indexed="8"/>
        <rFont val="Calibri"/>
        <family val="2"/>
      </rPr>
      <t>2</t>
    </r>
    <r>
      <rPr>
        <b/>
        <sz val="12"/>
        <color indexed="8"/>
        <rFont val="Calibri"/>
        <family val="2"/>
      </rPr>
      <t>e/start)</t>
    </r>
  </si>
  <si>
    <t>Running Emissions, Manhattan</t>
  </si>
  <si>
    <t>Running Emissions, Other NYC</t>
  </si>
  <si>
    <t>Build Year:</t>
  </si>
  <si>
    <t>VMT</t>
  </si>
  <si>
    <t>Manhattan</t>
  </si>
  <si>
    <t>Bronx, Brooklyn, Queens, Staten Island</t>
  </si>
  <si>
    <t>TOTAL</t>
  </si>
  <si>
    <t>Road type</t>
  </si>
  <si>
    <r>
      <t>ANNUAL CARBON DIOXIDE EQUIVALENT (CO</t>
    </r>
    <r>
      <rPr>
        <b/>
        <vertAlign val="subscript"/>
        <sz val="12"/>
        <color indexed="8"/>
        <rFont val="Calibri"/>
        <family val="2"/>
      </rPr>
      <t>2</t>
    </r>
    <r>
      <rPr>
        <b/>
        <sz val="12"/>
        <color indexed="8"/>
        <rFont val="Calibri"/>
        <family val="2"/>
      </rPr>
      <t>e) EMISSIONS</t>
    </r>
  </si>
  <si>
    <r>
      <t>INSTRUCTIONS: Enter the project's build year and annual vehicle miles traveled (VMT) in the yellow boxes below, with separate entries for Manhattan and Bronx, Brooklyn, Queens, and Staten Island combined. Total metric tons of carbon dioxide equivalent CO</t>
    </r>
    <r>
      <rPr>
        <vertAlign val="subscript"/>
        <sz val="11"/>
        <color indexed="9"/>
        <rFont val="Calibri"/>
        <family val="2"/>
      </rPr>
      <t>2</t>
    </r>
    <r>
      <rPr>
        <sz val="11"/>
        <color indexed="9"/>
        <rFont val="Calibri"/>
        <family val="2"/>
      </rPr>
      <t>e for will be calculated and shown in the blue boxes.</t>
    </r>
  </si>
  <si>
    <r>
      <t>CO</t>
    </r>
    <r>
      <rPr>
        <vertAlign val="subscript"/>
        <sz val="11"/>
        <color indexed="8"/>
        <rFont val="Calibri"/>
        <family val="2"/>
      </rPr>
      <t>2</t>
    </r>
    <r>
      <rPr>
        <sz val="11"/>
        <color theme="1"/>
        <rFont val="Calibri"/>
        <family val="2"/>
        <scheme val="minor"/>
      </rPr>
      <t>e (metric tons)</t>
    </r>
  </si>
  <si>
    <t>RFS2 Reduction</t>
  </si>
  <si>
    <t>Gasoline</t>
  </si>
  <si>
    <t>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</si>
</sst>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
    <numFmt numFmtId="166" formatCode="0.0%"/>
    <numFmt numFmtId="167" formatCode="_(* #,##0_);_(* \(#,##0\);_(* &quot;-&quot;??_);_(@_)"/>
  </numFmts>
  <fonts count="24" x14ac:knownFonts="1">
    <font>
      <sz val="11"/>
      <color theme="1"/>
      <name val="Calibri"/>
      <family val="2"/>
      <scheme val="minor"/>
    </font>
    <font>
      <b/>
      <sz val="12"/>
      <color indexed="8"/>
      <name val="Calibri"/>
      <family val="2"/>
    </font>
    <font>
      <b/>
      <vertAlign val="subscript"/>
      <sz val="12"/>
      <color indexed="8"/>
      <name val="Calibri"/>
      <family val="2"/>
    </font>
    <font>
      <i/>
      <sz val="11"/>
      <color indexed="8"/>
      <name val="Calibri"/>
      <family val="2"/>
    </font>
    <font>
      <b/>
      <i/>
      <sz val="11"/>
      <color indexed="8"/>
      <name val="Calibri"/>
      <family val="2"/>
    </font>
    <font>
      <b/>
      <sz val="10"/>
      <name val="Arial"/>
      <family val="2"/>
    </font>
    <font>
      <sz val="10"/>
      <name val="Arial"/>
      <family val="2"/>
    </font>
    <font>
      <sz val="10"/>
      <color indexed="8"/>
      <name val="Arial"/>
      <family val="2"/>
    </font>
    <font>
      <i/>
      <sz val="10"/>
      <name val="Arial"/>
      <family val="2"/>
    </font>
    <font>
      <vertAlign val="subscript"/>
      <sz val="11"/>
      <color indexed="8"/>
      <name val="Calibri"/>
      <family val="2"/>
    </font>
    <font>
      <sz val="11"/>
      <color indexed="9"/>
      <name val="Calibri"/>
      <family val="2"/>
    </font>
    <font>
      <vertAlign val="subscript"/>
      <sz val="11"/>
      <color indexed="9"/>
      <name val="Calibri"/>
      <family val="2"/>
    </font>
    <font>
      <sz val="11"/>
      <color theme="1"/>
      <name val="Calibri"/>
      <family val="2"/>
      <scheme val="minor"/>
    </font>
    <font>
      <sz val="11"/>
      <color theme="0"/>
      <name val="Calibri"/>
      <family val="2"/>
      <scheme val="minor"/>
    </font>
    <font>
      <sz val="10"/>
      <color theme="1"/>
      <name val="Arial"/>
      <family val="2"/>
    </font>
    <font>
      <b/>
      <sz val="11"/>
      <color theme="1"/>
      <name val="Calibri"/>
      <family val="2"/>
      <scheme val="minor"/>
    </font>
    <font>
      <b/>
      <sz val="12"/>
      <color theme="1"/>
      <name val="Calibri"/>
      <family val="2"/>
      <scheme val="minor"/>
    </font>
    <font>
      <i/>
      <sz val="11"/>
      <color theme="1"/>
      <name val="Calibri"/>
      <family val="2"/>
      <scheme val="minor"/>
    </font>
    <font>
      <sz val="10"/>
      <color theme="6" tint="-0.249977111117893"/>
      <name val="Arial"/>
      <family val="2"/>
    </font>
    <font>
      <sz val="10"/>
      <color rgb="FF000080"/>
      <name val="Arial"/>
      <family val="2"/>
    </font>
    <font>
      <b/>
      <sz val="11"/>
      <color rgb="FFFF0000"/>
      <name val="Calibri"/>
      <family val="2"/>
      <scheme val="minor"/>
    </font>
    <font>
      <sz val="11"/>
      <color theme="6" tint="-0.249977111117893"/>
      <name val="Calibri"/>
      <family val="2"/>
      <scheme val="minor"/>
    </font>
    <font>
      <b/>
      <sz val="14"/>
      <color theme="1"/>
      <name val="Calibri"/>
      <family val="2"/>
      <scheme val="minor"/>
    </font>
    <font>
      <sz val="12"/>
      <color theme="1"/>
      <name val="Calibri"/>
      <family val="2"/>
      <scheme val="minor"/>
    </font>
  </fonts>
  <fills count="12">
    <fill>
      <patternFill patternType="none"/>
    </fill>
    <fill>
      <patternFill patternType="gray125"/>
    </fill>
    <fill>
      <patternFill patternType="solid">
        <fgColor indexed="22"/>
        <bgColor indexed="64"/>
      </patternFill>
    </fill>
    <fill>
      <patternFill patternType="solid">
        <fgColor theme="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39997558519241921"/>
        <bgColor indexed="64"/>
      </patternFill>
    </fill>
  </fills>
  <borders count="48">
    <border>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s>
  <cellStyleXfs count="8">
    <xf numFmtId="0" fontId="0" fillId="0" borderId="0"/>
    <xf numFmtId="0" fontId="13" fillId="3" borderId="0" applyNumberFormat="0" applyBorder="0" applyAlignment="0" applyProtection="0"/>
    <xf numFmtId="164" fontId="14" fillId="0" borderId="0" applyFont="0" applyFill="0" applyBorder="0" applyAlignment="0" applyProtection="0"/>
    <xf numFmtId="164" fontId="6" fillId="0" borderId="0" applyFont="0" applyFill="0" applyBorder="0" applyAlignment="0" applyProtection="0"/>
    <xf numFmtId="0" fontId="6" fillId="0" borderId="0"/>
    <xf numFmtId="0" fontId="7" fillId="0" borderId="0"/>
    <xf numFmtId="9" fontId="14" fillId="0" borderId="0" applyFont="0" applyFill="0" applyBorder="0" applyAlignment="0" applyProtection="0"/>
    <xf numFmtId="9" fontId="6" fillId="0" borderId="0" applyFont="0" applyFill="0" applyBorder="0" applyAlignment="0" applyProtection="0"/>
  </cellStyleXfs>
  <cellXfs count="249">
    <xf numFmtId="0" fontId="0" fillId="0" borderId="0" xfId="0"/>
    <xf numFmtId="0" fontId="15" fillId="0" borderId="0" xfId="0" applyFont="1"/>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3" xfId="0" applyBorder="1" applyAlignment="1">
      <alignment wrapText="1"/>
    </xf>
    <xf numFmtId="0" fontId="0" fillId="0" borderId="5" xfId="0" applyBorder="1"/>
    <xf numFmtId="0" fontId="0" fillId="0" borderId="6" xfId="0" applyBorder="1"/>
    <xf numFmtId="0" fontId="0" fillId="0" borderId="7" xfId="0" applyBorder="1"/>
    <xf numFmtId="0" fontId="0" fillId="0" borderId="0" xfId="0" applyAlignment="1">
      <alignment horizontal="center"/>
    </xf>
    <xf numFmtId="165" fontId="0" fillId="0" borderId="0" xfId="0" applyNumberFormat="1"/>
    <xf numFmtId="165" fontId="0" fillId="0" borderId="0" xfId="0" applyNumberFormat="1" applyBorder="1"/>
    <xf numFmtId="165" fontId="0" fillId="0" borderId="2" xfId="0" applyNumberFormat="1" applyBorder="1"/>
    <xf numFmtId="1" fontId="0" fillId="4" borderId="8" xfId="0" applyNumberFormat="1" applyFill="1" applyBorder="1"/>
    <xf numFmtId="0" fontId="0" fillId="0" borderId="9" xfId="0" applyBorder="1"/>
    <xf numFmtId="0" fontId="15" fillId="4" borderId="10" xfId="0" applyFont="1" applyFill="1" applyBorder="1"/>
    <xf numFmtId="1" fontId="0" fillId="4" borderId="11" xfId="0" applyNumberFormat="1" applyFill="1" applyBorder="1"/>
    <xf numFmtId="1" fontId="0" fillId="4" borderId="10" xfId="0" applyNumberFormat="1" applyFill="1" applyBorder="1"/>
    <xf numFmtId="1" fontId="0" fillId="4" borderId="12" xfId="0" applyNumberFormat="1" applyFill="1" applyBorder="1"/>
    <xf numFmtId="0" fontId="0" fillId="0" borderId="13" xfId="0" applyBorder="1" applyAlignment="1">
      <alignment horizontal="center" wrapText="1"/>
    </xf>
    <xf numFmtId="0" fontId="0" fillId="0" borderId="14" xfId="0" applyBorder="1"/>
    <xf numFmtId="0" fontId="0" fillId="0" borderId="13" xfId="0" applyFont="1" applyBorder="1" applyAlignment="1">
      <alignment wrapText="1"/>
    </xf>
    <xf numFmtId="0" fontId="16" fillId="0" borderId="0" xfId="0" applyFont="1"/>
    <xf numFmtId="0" fontId="0" fillId="5" borderId="15" xfId="0" applyFill="1" applyBorder="1" applyAlignment="1">
      <alignment horizontal="right"/>
    </xf>
    <xf numFmtId="0" fontId="0" fillId="5" borderId="16" xfId="0" applyFill="1" applyBorder="1"/>
    <xf numFmtId="0" fontId="0" fillId="5" borderId="16" xfId="0" applyFill="1" applyBorder="1" applyAlignment="1">
      <alignment horizontal="center" wrapText="1"/>
    </xf>
    <xf numFmtId="0" fontId="0" fillId="5" borderId="17" xfId="0" applyFill="1" applyBorder="1" applyAlignment="1">
      <alignment horizontal="center" wrapText="1"/>
    </xf>
    <xf numFmtId="0" fontId="0" fillId="5" borderId="12" xfId="0" applyFill="1" applyBorder="1"/>
    <xf numFmtId="1" fontId="0" fillId="5" borderId="14" xfId="0" applyNumberFormat="1" applyFill="1" applyBorder="1"/>
    <xf numFmtId="1" fontId="0" fillId="5" borderId="18" xfId="0" applyNumberFormat="1" applyFill="1" applyBorder="1"/>
    <xf numFmtId="0" fontId="17" fillId="0" borderId="0" xfId="0" applyFont="1"/>
    <xf numFmtId="0" fontId="5" fillId="2" borderId="19" xfId="0" applyFont="1" applyFill="1" applyBorder="1" applyAlignment="1">
      <alignment horizontal="center" vertical="center" wrapText="1"/>
    </xf>
    <xf numFmtId="0" fontId="5" fillId="2" borderId="19" xfId="0" applyFont="1" applyFill="1" applyBorder="1" applyAlignment="1">
      <alignment horizontal="center"/>
    </xf>
    <xf numFmtId="0" fontId="0" fillId="0" borderId="19" xfId="0" applyFill="1" applyBorder="1"/>
    <xf numFmtId="3" fontId="0" fillId="0" borderId="19" xfId="0" applyNumberFormat="1" applyFill="1" applyBorder="1" applyAlignment="1">
      <alignment horizontal="center"/>
    </xf>
    <xf numFmtId="3" fontId="12" fillId="0" borderId="19" xfId="2" applyNumberFormat="1" applyFont="1" applyBorder="1" applyAlignment="1">
      <alignment horizontal="center"/>
    </xf>
    <xf numFmtId="3" fontId="0" fillId="0" borderId="19" xfId="0" applyNumberFormat="1" applyBorder="1" applyAlignment="1">
      <alignment horizontal="center"/>
    </xf>
    <xf numFmtId="0" fontId="0" fillId="0" borderId="19" xfId="0" applyFill="1" applyBorder="1" applyAlignment="1">
      <alignment horizontal="center"/>
    </xf>
    <xf numFmtId="0" fontId="7" fillId="0" borderId="19" xfId="5" applyFont="1" applyFill="1" applyBorder="1" applyAlignment="1">
      <alignment wrapText="1"/>
    </xf>
    <xf numFmtId="3" fontId="7" fillId="0" borderId="19" xfId="5" applyNumberFormat="1" applyFont="1" applyFill="1" applyBorder="1" applyAlignment="1">
      <alignment horizontal="center" wrapText="1"/>
    </xf>
    <xf numFmtId="0" fontId="8" fillId="0" borderId="19" xfId="0" applyFont="1" applyFill="1" applyBorder="1" applyAlignment="1">
      <alignment horizontal="right"/>
    </xf>
    <xf numFmtId="3" fontId="8" fillId="0" borderId="19" xfId="0" applyNumberFormat="1" applyFont="1" applyFill="1" applyBorder="1" applyAlignment="1">
      <alignment horizontal="center"/>
    </xf>
    <xf numFmtId="3" fontId="8" fillId="0" borderId="19" xfId="2" applyNumberFormat="1" applyFont="1" applyBorder="1" applyAlignment="1">
      <alignment horizontal="center"/>
    </xf>
    <xf numFmtId="3" fontId="8" fillId="0" borderId="19" xfId="0" applyNumberFormat="1" applyFont="1" applyBorder="1" applyAlignment="1">
      <alignment horizontal="center"/>
    </xf>
    <xf numFmtId="1" fontId="12" fillId="0" borderId="19" xfId="2" applyNumberFormat="1" applyFont="1" applyFill="1" applyBorder="1" applyAlignment="1">
      <alignment horizontal="center"/>
    </xf>
    <xf numFmtId="0" fontId="0" fillId="0" borderId="19" xfId="0" applyFill="1" applyBorder="1" applyAlignment="1">
      <alignment horizontal="right"/>
    </xf>
    <xf numFmtId="3" fontId="0" fillId="0" borderId="0" xfId="0" applyNumberFormat="1"/>
    <xf numFmtId="166" fontId="12" fillId="0" borderId="0" xfId="6" applyNumberFormat="1" applyFont="1"/>
    <xf numFmtId="0" fontId="0" fillId="0" borderId="20" xfId="0" applyBorder="1" applyAlignment="1">
      <alignment horizontal="center" wrapText="1"/>
    </xf>
    <xf numFmtId="1" fontId="0" fillId="4" borderId="21" xfId="0" applyNumberFormat="1" applyFill="1" applyBorder="1"/>
    <xf numFmtId="1" fontId="0" fillId="4" borderId="6" xfId="0" applyNumberFormat="1" applyFill="1" applyBorder="1"/>
    <xf numFmtId="1" fontId="0" fillId="4" borderId="22" xfId="0" applyNumberFormat="1" applyFill="1" applyBorder="1"/>
    <xf numFmtId="0" fontId="0" fillId="4" borderId="10" xfId="0" applyFill="1" applyBorder="1" applyAlignment="1">
      <alignment horizontal="center"/>
    </xf>
    <xf numFmtId="9" fontId="12" fillId="6" borderId="8" xfId="6" applyFont="1" applyFill="1" applyBorder="1"/>
    <xf numFmtId="0" fontId="0" fillId="0" borderId="12" xfId="0" applyBorder="1"/>
    <xf numFmtId="0" fontId="0" fillId="0" borderId="14" xfId="0" applyBorder="1" applyAlignment="1">
      <alignment wrapText="1"/>
    </xf>
    <xf numFmtId="0" fontId="0" fillId="0" borderId="18" xfId="0" applyBorder="1" applyAlignment="1">
      <alignment wrapText="1"/>
    </xf>
    <xf numFmtId="9" fontId="12" fillId="6" borderId="23" xfId="6" applyFont="1" applyFill="1" applyBorder="1"/>
    <xf numFmtId="9" fontId="12" fillId="6" borderId="11" xfId="6" applyFont="1" applyFill="1" applyBorder="1"/>
    <xf numFmtId="9" fontId="12" fillId="6" borderId="18" xfId="6" applyFont="1" applyFill="1" applyBorder="1"/>
    <xf numFmtId="0" fontId="15" fillId="4" borderId="12" xfId="0" applyFont="1" applyFill="1" applyBorder="1"/>
    <xf numFmtId="0" fontId="0" fillId="4" borderId="12" xfId="0" applyFill="1" applyBorder="1" applyAlignment="1">
      <alignment horizontal="center"/>
    </xf>
    <xf numFmtId="1" fontId="0" fillId="4" borderId="24" xfId="0" applyNumberFormat="1" applyFill="1" applyBorder="1"/>
    <xf numFmtId="1" fontId="0" fillId="4" borderId="25" xfId="0" applyNumberFormat="1" applyFill="1" applyBorder="1"/>
    <xf numFmtId="1" fontId="0" fillId="4" borderId="26" xfId="0" applyNumberFormat="1" applyFill="1" applyBorder="1"/>
    <xf numFmtId="0" fontId="0" fillId="5" borderId="14" xfId="0" applyFill="1" applyBorder="1" applyAlignment="1">
      <alignment horizontal="center" vertical="center"/>
    </xf>
    <xf numFmtId="1" fontId="0" fillId="5" borderId="27" xfId="0" applyNumberFormat="1" applyFill="1" applyBorder="1"/>
    <xf numFmtId="165" fontId="6" fillId="0" borderId="28" xfId="0" applyNumberFormat="1" applyFont="1" applyFill="1" applyBorder="1"/>
    <xf numFmtId="165" fontId="6" fillId="0" borderId="0" xfId="0" applyNumberFormat="1" applyFont="1" applyFill="1" applyBorder="1"/>
    <xf numFmtId="165" fontId="6" fillId="0" borderId="8" xfId="0" applyNumberFormat="1" applyFont="1" applyFill="1" applyBorder="1"/>
    <xf numFmtId="165" fontId="6" fillId="0" borderId="4" xfId="0" applyNumberFormat="1" applyFont="1" applyFill="1" applyBorder="1"/>
    <xf numFmtId="165" fontId="6" fillId="0" borderId="2" xfId="0" applyNumberFormat="1" applyFont="1" applyFill="1" applyBorder="1"/>
    <xf numFmtId="165" fontId="6" fillId="0" borderId="3" xfId="0" applyNumberFormat="1" applyFont="1" applyFill="1" applyBorder="1"/>
    <xf numFmtId="0" fontId="0" fillId="0" borderId="28" xfId="0" applyBorder="1"/>
    <xf numFmtId="166" fontId="12" fillId="0" borderId="0" xfId="6" applyNumberFormat="1" applyFont="1" applyBorder="1"/>
    <xf numFmtId="166" fontId="12" fillId="0" borderId="2" xfId="6" applyNumberFormat="1" applyFont="1" applyBorder="1"/>
    <xf numFmtId="0" fontId="5" fillId="0" borderId="28" xfId="0" applyFont="1" applyBorder="1" applyAlignment="1">
      <alignment horizontal="center"/>
    </xf>
    <xf numFmtId="0" fontId="5" fillId="0" borderId="4" xfId="0" applyFont="1" applyBorder="1" applyAlignment="1">
      <alignment horizontal="center"/>
    </xf>
    <xf numFmtId="0" fontId="5" fillId="0" borderId="13" xfId="0" applyFont="1" applyBorder="1" applyAlignment="1">
      <alignment horizontal="center"/>
    </xf>
    <xf numFmtId="165" fontId="6" fillId="0" borderId="29" xfId="0" applyNumberFormat="1" applyFont="1" applyFill="1" applyBorder="1"/>
    <xf numFmtId="165" fontId="6" fillId="0" borderId="30" xfId="0" applyNumberFormat="1" applyFont="1" applyFill="1" applyBorder="1"/>
    <xf numFmtId="165" fontId="6" fillId="0" borderId="31" xfId="0" applyNumberFormat="1" applyFont="1" applyFill="1" applyBorder="1"/>
    <xf numFmtId="166" fontId="12" fillId="0" borderId="30" xfId="6" applyNumberFormat="1" applyFont="1" applyBorder="1"/>
    <xf numFmtId="0" fontId="0" fillId="0" borderId="11" xfId="0" applyBorder="1"/>
    <xf numFmtId="0" fontId="0" fillId="0" borderId="2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32" xfId="0" applyBorder="1"/>
    <xf numFmtId="0" fontId="0" fillId="0" borderId="20" xfId="0" applyBorder="1"/>
    <xf numFmtId="0" fontId="0" fillId="0" borderId="14" xfId="0" applyBorder="1" applyAlignment="1">
      <alignment horizontal="center" wrapText="1"/>
    </xf>
    <xf numFmtId="0" fontId="15" fillId="0" borderId="33" xfId="0" applyFont="1" applyBorder="1" applyAlignment="1">
      <alignment horizontal="left"/>
    </xf>
    <xf numFmtId="0" fontId="0" fillId="0" borderId="16" xfId="0" applyBorder="1"/>
    <xf numFmtId="0" fontId="0" fillId="0" borderId="17" xfId="0" applyBorder="1"/>
    <xf numFmtId="0" fontId="15" fillId="0" borderId="15" xfId="0" applyFont="1" applyBorder="1" applyAlignment="1"/>
    <xf numFmtId="0" fontId="0" fillId="0" borderId="0" xfId="0" applyAlignment="1">
      <alignment vertical="top"/>
    </xf>
    <xf numFmtId="0" fontId="6" fillId="0" borderId="4"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0" fillId="0" borderId="34" xfId="0" applyBorder="1"/>
    <xf numFmtId="0" fontId="5" fillId="0" borderId="35" xfId="4" applyFont="1" applyBorder="1" applyAlignment="1">
      <alignment horizontal="center" wrapText="1"/>
    </xf>
    <xf numFmtId="0" fontId="6" fillId="0" borderId="36" xfId="4" applyBorder="1" applyAlignment="1">
      <alignment horizontal="center" wrapText="1"/>
    </xf>
    <xf numFmtId="0" fontId="5" fillId="0" borderId="36" xfId="4" applyFont="1" applyBorder="1" applyAlignment="1">
      <alignment horizontal="center" wrapText="1"/>
    </xf>
    <xf numFmtId="0" fontId="6" fillId="0" borderId="37" xfId="4" applyBorder="1" applyAlignment="1">
      <alignment horizontal="center" wrapText="1"/>
    </xf>
    <xf numFmtId="0" fontId="5" fillId="0" borderId="10" xfId="4" applyFont="1" applyBorder="1"/>
    <xf numFmtId="49" fontId="6" fillId="0" borderId="0" xfId="4" applyNumberFormat="1" applyBorder="1"/>
    <xf numFmtId="167" fontId="12" fillId="0" borderId="0" xfId="3" applyNumberFormat="1" applyFont="1" applyBorder="1"/>
    <xf numFmtId="166" fontId="12" fillId="0" borderId="0" xfId="7" applyNumberFormat="1" applyFont="1" applyBorder="1"/>
    <xf numFmtId="0" fontId="6" fillId="0" borderId="0" xfId="4" applyBorder="1"/>
    <xf numFmtId="0" fontId="6" fillId="0" borderId="23" xfId="4" applyBorder="1"/>
    <xf numFmtId="167" fontId="18" fillId="0" borderId="0" xfId="3" applyNumberFormat="1" applyFont="1" applyBorder="1"/>
    <xf numFmtId="166" fontId="6" fillId="0" borderId="0" xfId="4" applyNumberFormat="1" applyBorder="1"/>
    <xf numFmtId="0" fontId="6" fillId="0" borderId="0" xfId="4" applyFont="1" applyBorder="1"/>
    <xf numFmtId="0" fontId="5" fillId="0" borderId="12" xfId="4" applyFont="1" applyBorder="1"/>
    <xf numFmtId="49" fontId="6" fillId="0" borderId="14" xfId="4" applyNumberFormat="1" applyBorder="1"/>
    <xf numFmtId="167" fontId="12" fillId="0" borderId="14" xfId="3" applyNumberFormat="1" applyFont="1" applyBorder="1"/>
    <xf numFmtId="166" fontId="12" fillId="0" borderId="14" xfId="7" applyNumberFormat="1" applyFont="1" applyBorder="1"/>
    <xf numFmtId="166" fontId="6" fillId="0" borderId="14" xfId="4" applyNumberFormat="1" applyBorder="1"/>
    <xf numFmtId="0" fontId="6" fillId="0" borderId="14" xfId="4" applyBorder="1"/>
    <xf numFmtId="0" fontId="6" fillId="0" borderId="18" xfId="4" applyBorder="1"/>
    <xf numFmtId="0" fontId="19" fillId="0" borderId="35" xfId="4" applyFont="1" applyBorder="1"/>
    <xf numFmtId="0" fontId="6" fillId="0" borderId="36" xfId="4" applyBorder="1"/>
    <xf numFmtId="0" fontId="6" fillId="0" borderId="37" xfId="4" applyBorder="1"/>
    <xf numFmtId="0" fontId="19" fillId="0" borderId="10" xfId="4" applyFont="1" applyBorder="1"/>
    <xf numFmtId="0" fontId="19" fillId="0" borderId="12" xfId="4" applyFont="1" applyBorder="1"/>
    <xf numFmtId="166" fontId="20" fillId="0" borderId="0" xfId="7" applyNumberFormat="1" applyFont="1" applyBorder="1"/>
    <xf numFmtId="0" fontId="17" fillId="0" borderId="0" xfId="0" applyFont="1" applyAlignment="1"/>
    <xf numFmtId="0" fontId="21" fillId="0" borderId="0" xfId="0" applyFont="1" applyAlignment="1">
      <alignment horizontal="right"/>
    </xf>
    <xf numFmtId="0" fontId="17" fillId="0" borderId="0" xfId="0" applyFont="1" applyAlignment="1">
      <alignment horizontal="center"/>
    </xf>
    <xf numFmtId="9" fontId="12" fillId="0" borderId="0" xfId="6" applyFont="1" applyAlignment="1">
      <alignment horizontal="center"/>
    </xf>
    <xf numFmtId="0" fontId="5" fillId="2" borderId="9" xfId="0" applyFont="1" applyFill="1" applyBorder="1" applyAlignment="1">
      <alignment horizontal="center" wrapText="1"/>
    </xf>
    <xf numFmtId="3" fontId="0" fillId="0" borderId="9" xfId="0" applyNumberFormat="1" applyBorder="1" applyAlignment="1">
      <alignment horizontal="center"/>
    </xf>
    <xf numFmtId="3" fontId="7" fillId="0" borderId="9" xfId="5" applyNumberFormat="1" applyFont="1" applyFill="1" applyBorder="1" applyAlignment="1">
      <alignment horizontal="center" wrapText="1"/>
    </xf>
    <xf numFmtId="3" fontId="8" fillId="0" borderId="9" xfId="0" applyNumberFormat="1" applyFont="1" applyBorder="1" applyAlignment="1">
      <alignment horizontal="center"/>
    </xf>
    <xf numFmtId="10" fontId="6" fillId="0" borderId="38" xfId="2" applyNumberFormat="1" applyFont="1" applyBorder="1" applyAlignment="1">
      <alignment horizontal="center"/>
    </xf>
    <xf numFmtId="0" fontId="17" fillId="0" borderId="0" xfId="0" applyFont="1" applyBorder="1" applyAlignment="1">
      <alignment vertical="top"/>
    </xf>
    <xf numFmtId="0" fontId="17" fillId="0" borderId="23" xfId="0" applyFont="1" applyBorder="1" applyAlignment="1">
      <alignment vertical="top"/>
    </xf>
    <xf numFmtId="0" fontId="17" fillId="0" borderId="12" xfId="0" applyFont="1" applyBorder="1" applyAlignment="1">
      <alignment vertical="top"/>
    </xf>
    <xf numFmtId="0" fontId="17" fillId="0" borderId="18" xfId="0" applyFont="1" applyBorder="1" applyAlignment="1">
      <alignment vertical="top"/>
    </xf>
    <xf numFmtId="0" fontId="0" fillId="0" borderId="39" xfId="0" applyBorder="1" applyAlignment="1">
      <alignment horizontal="center"/>
    </xf>
    <xf numFmtId="0" fontId="0" fillId="0" borderId="40" xfId="0" applyBorder="1" applyAlignment="1">
      <alignment horizontal="center"/>
    </xf>
    <xf numFmtId="0" fontId="0" fillId="0" borderId="38"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15" fillId="7" borderId="17" xfId="0" applyFont="1" applyFill="1" applyBorder="1" applyAlignment="1">
      <alignment horizontal="center"/>
    </xf>
    <xf numFmtId="0" fontId="0" fillId="0" borderId="0" xfId="0" applyAlignment="1">
      <alignment horizontal="right"/>
    </xf>
    <xf numFmtId="165" fontId="0" fillId="0" borderId="0" xfId="0" applyNumberFormat="1" applyAlignment="1">
      <alignment horizontal="center"/>
    </xf>
    <xf numFmtId="0" fontId="0" fillId="0" borderId="8" xfId="0" applyBorder="1"/>
    <xf numFmtId="0" fontId="0" fillId="0" borderId="28" xfId="0" applyBorder="1" applyAlignment="1">
      <alignment horizontal="left"/>
    </xf>
    <xf numFmtId="0" fontId="0" fillId="0" borderId="4" xfId="0" applyBorder="1" applyAlignment="1">
      <alignment horizontal="left"/>
    </xf>
    <xf numFmtId="165" fontId="0" fillId="8" borderId="0" xfId="0" applyNumberFormat="1" applyFill="1" applyAlignment="1">
      <alignment horizontal="center"/>
    </xf>
    <xf numFmtId="0" fontId="15" fillId="7" borderId="33" xfId="0" applyFont="1" applyFill="1" applyBorder="1" applyAlignment="1">
      <alignment horizontal="center" wrapText="1"/>
    </xf>
    <xf numFmtId="0" fontId="0" fillId="0" borderId="0" xfId="0" applyFont="1" applyAlignment="1"/>
    <xf numFmtId="0" fontId="0" fillId="0" borderId="0" xfId="0" applyFont="1" applyBorder="1"/>
    <xf numFmtId="0" fontId="17" fillId="0" borderId="0" xfId="0" applyFont="1" applyBorder="1"/>
    <xf numFmtId="0" fontId="0" fillId="0" borderId="1" xfId="0" applyBorder="1" applyAlignment="1">
      <alignment horizontal="center" wrapText="1"/>
    </xf>
    <xf numFmtId="0" fontId="0" fillId="0" borderId="43" xfId="0" applyBorder="1" applyAlignment="1">
      <alignment horizontal="center" wrapText="1"/>
    </xf>
    <xf numFmtId="0" fontId="0" fillId="0" borderId="44" xfId="0" applyBorder="1" applyAlignment="1">
      <alignment horizontal="center" wrapText="1"/>
    </xf>
    <xf numFmtId="0" fontId="0" fillId="0" borderId="5" xfId="0" applyBorder="1" applyAlignment="1">
      <alignment horizontal="center" wrapText="1"/>
    </xf>
    <xf numFmtId="0" fontId="0" fillId="0" borderId="32" xfId="0" applyBorder="1" applyAlignment="1">
      <alignment horizontal="center" wrapText="1"/>
    </xf>
    <xf numFmtId="1" fontId="0" fillId="0" borderId="6" xfId="0" applyNumberFormat="1" applyBorder="1" applyAlignment="1">
      <alignment horizontal="center" vertical="center"/>
    </xf>
    <xf numFmtId="1" fontId="0" fillId="0" borderId="7" xfId="0" applyNumberFormat="1" applyBorder="1" applyAlignment="1">
      <alignment horizontal="center" vertical="center"/>
    </xf>
    <xf numFmtId="1" fontId="0" fillId="0" borderId="32" xfId="0" applyNumberFormat="1" applyBorder="1" applyAlignment="1">
      <alignment horizontal="center" vertical="center"/>
    </xf>
    <xf numFmtId="0" fontId="22" fillId="0" borderId="9" xfId="0" applyFont="1" applyBorder="1" applyAlignment="1">
      <alignment horizontal="left"/>
    </xf>
    <xf numFmtId="1" fontId="0" fillId="9" borderId="20" xfId="0" applyNumberFormat="1" applyFill="1" applyBorder="1" applyAlignment="1">
      <alignment horizontal="center" vertical="center"/>
    </xf>
    <xf numFmtId="1" fontId="0" fillId="0" borderId="8" xfId="0" applyNumberFormat="1" applyBorder="1" applyAlignment="1">
      <alignment horizontal="center" vertical="center"/>
    </xf>
    <xf numFmtId="0" fontId="0" fillId="9" borderId="9" xfId="0" applyFill="1" applyBorder="1"/>
    <xf numFmtId="3" fontId="0" fillId="0" borderId="9" xfId="0" quotePrefix="1" applyNumberFormat="1" applyBorder="1"/>
    <xf numFmtId="3" fontId="0" fillId="0" borderId="32" xfId="0" applyNumberFormat="1" applyBorder="1"/>
    <xf numFmtId="3" fontId="0" fillId="0" borderId="20" xfId="0" applyNumberFormat="1" applyBorder="1"/>
    <xf numFmtId="3" fontId="0" fillId="0" borderId="28" xfId="0" applyNumberFormat="1" applyBorder="1"/>
    <xf numFmtId="3" fontId="0" fillId="0" borderId="4" xfId="0" applyNumberFormat="1" applyBorder="1"/>
    <xf numFmtId="3" fontId="0" fillId="0" borderId="1" xfId="0" applyNumberFormat="1" applyBorder="1"/>
    <xf numFmtId="1" fontId="0" fillId="0" borderId="1" xfId="0" applyNumberFormat="1" applyBorder="1" applyAlignment="1">
      <alignment horizontal="center" vertical="center"/>
    </xf>
    <xf numFmtId="1" fontId="0" fillId="0" borderId="28" xfId="0" applyNumberFormat="1" applyBorder="1" applyAlignment="1">
      <alignment horizontal="center" vertical="center"/>
    </xf>
    <xf numFmtId="1" fontId="0" fillId="0" borderId="4" xfId="0" applyNumberFormat="1" applyBorder="1" applyAlignment="1">
      <alignment horizontal="center" vertical="center"/>
    </xf>
    <xf numFmtId="3" fontId="0" fillId="0" borderId="43" xfId="0" applyNumberFormat="1" applyBorder="1"/>
    <xf numFmtId="3" fontId="0" fillId="0" borderId="0" xfId="0" applyNumberFormat="1" applyBorder="1"/>
    <xf numFmtId="3" fontId="0" fillId="0" borderId="44" xfId="0" applyNumberFormat="1" applyBorder="1"/>
    <xf numFmtId="3" fontId="0" fillId="0" borderId="8" xfId="0" applyNumberFormat="1" applyBorder="1"/>
    <xf numFmtId="3" fontId="0" fillId="0" borderId="2" xfId="0" applyNumberFormat="1" applyBorder="1"/>
    <xf numFmtId="3" fontId="0" fillId="0" borderId="3" xfId="0" applyNumberFormat="1" applyBorder="1"/>
    <xf numFmtId="0" fontId="0" fillId="0" borderId="0" xfId="0" applyProtection="1">
      <protection locked="0"/>
    </xf>
    <xf numFmtId="0" fontId="0" fillId="0" borderId="0" xfId="0" applyAlignment="1" applyProtection="1">
      <alignment horizontal="left" wrapText="1"/>
      <protection locked="0"/>
    </xf>
    <xf numFmtId="0" fontId="16" fillId="0" borderId="0" xfId="0" applyFont="1" applyProtection="1">
      <protection locked="0"/>
    </xf>
    <xf numFmtId="0" fontId="23" fillId="6" borderId="19" xfId="0" applyFont="1" applyFill="1" applyBorder="1" applyAlignment="1" applyProtection="1">
      <alignment horizontal="center"/>
      <protection locked="0"/>
    </xf>
    <xf numFmtId="0" fontId="0" fillId="0" borderId="19" xfId="0" applyBorder="1" applyAlignment="1" applyProtection="1">
      <alignment horizontal="center" wrapText="1"/>
      <protection locked="0"/>
    </xf>
    <xf numFmtId="0" fontId="0" fillId="0" borderId="19" xfId="0" applyBorder="1" applyAlignment="1" applyProtection="1">
      <alignment horizontal="left" indent="1"/>
      <protection locked="0"/>
    </xf>
    <xf numFmtId="0" fontId="0" fillId="0" borderId="19" xfId="0" applyBorder="1" applyProtection="1">
      <protection locked="0"/>
    </xf>
    <xf numFmtId="167" fontId="12" fillId="6" borderId="19" xfId="2" applyNumberFormat="1" applyFont="1" applyFill="1" applyBorder="1" applyProtection="1">
      <protection locked="0"/>
    </xf>
    <xf numFmtId="0" fontId="0" fillId="0" borderId="0" xfId="0" applyFill="1" applyBorder="1" applyProtection="1">
      <protection locked="0"/>
    </xf>
    <xf numFmtId="0" fontId="0" fillId="0" borderId="0" xfId="0" applyBorder="1" applyAlignment="1" applyProtection="1">
      <alignment horizontal="left" indent="1"/>
      <protection locked="0"/>
    </xf>
    <xf numFmtId="0" fontId="0" fillId="0" borderId="0" xfId="0" applyBorder="1" applyProtection="1">
      <protection locked="0"/>
    </xf>
    <xf numFmtId="167" fontId="12" fillId="0" borderId="0" xfId="2" applyNumberFormat="1" applyFont="1" applyFill="1" applyProtection="1">
      <protection locked="0"/>
    </xf>
    <xf numFmtId="0" fontId="0" fillId="0" borderId="0" xfId="0" applyFill="1" applyProtection="1">
      <protection locked="0"/>
    </xf>
    <xf numFmtId="0" fontId="22" fillId="0" borderId="0" xfId="0" applyFont="1" applyFill="1" applyBorder="1" applyAlignment="1" applyProtection="1">
      <protection locked="0"/>
    </xf>
    <xf numFmtId="0" fontId="15" fillId="0" borderId="0" xfId="0" applyFont="1" applyFill="1" applyBorder="1" applyAlignment="1" applyProtection="1">
      <alignment wrapText="1"/>
      <protection locked="0"/>
    </xf>
    <xf numFmtId="0" fontId="0" fillId="0" borderId="0" xfId="0" applyFill="1" applyBorder="1" applyAlignment="1" applyProtection="1">
      <alignment horizontal="center" wrapText="1"/>
      <protection locked="0"/>
    </xf>
    <xf numFmtId="0" fontId="15" fillId="0" borderId="0" xfId="0" applyFont="1" applyFill="1" applyBorder="1" applyAlignment="1" applyProtection="1">
      <alignment horizontal="center"/>
      <protection locked="0"/>
    </xf>
    <xf numFmtId="0" fontId="15" fillId="0" borderId="45" xfId="0" applyFont="1" applyBorder="1" applyProtection="1">
      <protection locked="0"/>
    </xf>
    <xf numFmtId="0" fontId="0" fillId="0" borderId="45" xfId="0" applyBorder="1" applyProtection="1">
      <protection locked="0"/>
    </xf>
    <xf numFmtId="0" fontId="0" fillId="0" borderId="45" xfId="0" applyBorder="1" applyAlignment="1" applyProtection="1">
      <alignment horizontal="center" wrapText="1"/>
      <protection locked="0"/>
    </xf>
    <xf numFmtId="0" fontId="15" fillId="0" borderId="45" xfId="0" applyFont="1" applyBorder="1" applyAlignment="1" applyProtection="1">
      <alignment horizontal="center"/>
      <protection locked="0"/>
    </xf>
    <xf numFmtId="0" fontId="0" fillId="0" borderId="0" xfId="0" applyFill="1" applyBorder="1" applyAlignment="1" applyProtection="1">
      <alignment horizontal="left" indent="1"/>
      <protection locked="0"/>
    </xf>
    <xf numFmtId="167" fontId="12" fillId="0" borderId="0" xfId="2" applyNumberFormat="1" applyFont="1" applyFill="1" applyBorder="1" applyProtection="1">
      <protection locked="0"/>
    </xf>
    <xf numFmtId="167" fontId="15" fillId="0" borderId="0" xfId="2" applyNumberFormat="1" applyFont="1" applyFill="1" applyBorder="1" applyProtection="1">
      <protection locked="0"/>
    </xf>
    <xf numFmtId="0" fontId="0" fillId="0" borderId="45" xfId="0" applyBorder="1" applyAlignment="1" applyProtection="1">
      <alignment horizontal="left" indent="1"/>
      <protection locked="0"/>
    </xf>
    <xf numFmtId="0" fontId="15" fillId="0" borderId="0" xfId="0" applyFont="1" applyFill="1" applyBorder="1" applyAlignment="1" applyProtection="1">
      <alignment horizontal="left" indent="1"/>
      <protection locked="0"/>
    </xf>
    <xf numFmtId="0" fontId="15" fillId="0" borderId="45" xfId="0" applyFont="1" applyBorder="1" applyAlignment="1" applyProtection="1">
      <alignment horizontal="left" indent="1"/>
      <protection locked="0"/>
    </xf>
    <xf numFmtId="0" fontId="15" fillId="0" borderId="45" xfId="0" applyFont="1" applyBorder="1" applyAlignment="1" applyProtection="1">
      <alignment wrapText="1"/>
      <protection locked="0"/>
    </xf>
    <xf numFmtId="0" fontId="15" fillId="0" borderId="45" xfId="0" applyFont="1" applyFill="1" applyBorder="1" applyAlignment="1" applyProtection="1">
      <alignment horizontal="left" indent="1"/>
      <protection locked="0"/>
    </xf>
    <xf numFmtId="164" fontId="12" fillId="10" borderId="45" xfId="2" applyNumberFormat="1" applyFont="1" applyFill="1" applyBorder="1" applyProtection="1"/>
    <xf numFmtId="164" fontId="15" fillId="10" borderId="45" xfId="2" applyNumberFormat="1" applyFont="1" applyFill="1" applyBorder="1" applyProtection="1"/>
    <xf numFmtId="164" fontId="15" fillId="11" borderId="45" xfId="2" applyNumberFormat="1" applyFont="1" applyFill="1" applyBorder="1" applyProtection="1"/>
    <xf numFmtId="0" fontId="0" fillId="0" borderId="4" xfId="0" applyBorder="1" applyAlignment="1">
      <alignment horizontal="center"/>
    </xf>
    <xf numFmtId="0" fontId="0" fillId="0" borderId="3" xfId="0" applyBorder="1" applyAlignment="1">
      <alignment horizontal="center"/>
    </xf>
    <xf numFmtId="166" fontId="0" fillId="0" borderId="28" xfId="0" applyNumberFormat="1" applyBorder="1"/>
    <xf numFmtId="166" fontId="12" fillId="0" borderId="28" xfId="6" applyNumberFormat="1" applyFont="1" applyBorder="1"/>
    <xf numFmtId="166" fontId="12" fillId="0" borderId="8" xfId="6" applyNumberFormat="1" applyFont="1" applyBorder="1"/>
    <xf numFmtId="166" fontId="0" fillId="0" borderId="8" xfId="0" applyNumberFormat="1" applyBorder="1"/>
    <xf numFmtId="166" fontId="0" fillId="0" borderId="4" xfId="0" applyNumberFormat="1" applyBorder="1"/>
    <xf numFmtId="166" fontId="0" fillId="0" borderId="3" xfId="0" applyNumberFormat="1" applyBorder="1"/>
    <xf numFmtId="0" fontId="13" fillId="3" borderId="0" xfId="1" applyAlignment="1" applyProtection="1">
      <alignment horizontal="left" vertical="top" wrapText="1"/>
      <protection locked="0"/>
    </xf>
    <xf numFmtId="0" fontId="15" fillId="0" borderId="19" xfId="0" applyFont="1" applyBorder="1" applyAlignment="1" applyProtection="1">
      <alignment horizontal="center" wrapText="1"/>
      <protection locked="0"/>
    </xf>
    <xf numFmtId="0" fontId="15" fillId="0" borderId="19" xfId="0" applyFont="1" applyBorder="1" applyAlignment="1" applyProtection="1">
      <alignment horizontal="center"/>
      <protection locked="0"/>
    </xf>
    <xf numFmtId="0" fontId="15" fillId="0" borderId="35" xfId="0" applyFont="1" applyBorder="1" applyAlignment="1" applyProtection="1">
      <alignment horizontal="center" wrapText="1"/>
      <protection locked="0"/>
    </xf>
    <xf numFmtId="0" fontId="15" fillId="0" borderId="36" xfId="0" applyFont="1" applyBorder="1" applyAlignment="1" applyProtection="1">
      <alignment horizontal="center" wrapText="1"/>
      <protection locked="0"/>
    </xf>
    <xf numFmtId="0" fontId="15" fillId="0" borderId="37" xfId="0" applyFont="1" applyBorder="1" applyAlignment="1" applyProtection="1">
      <alignment horizontal="center" wrapText="1"/>
      <protection locked="0"/>
    </xf>
    <xf numFmtId="0" fontId="15" fillId="0" borderId="35" xfId="0" applyFont="1" applyBorder="1" applyAlignment="1" applyProtection="1">
      <alignment horizontal="center"/>
      <protection locked="0"/>
    </xf>
    <xf numFmtId="0" fontId="15" fillId="0" borderId="36" xfId="0" applyFont="1" applyBorder="1" applyAlignment="1" applyProtection="1">
      <alignment horizontal="center"/>
      <protection locked="0"/>
    </xf>
    <xf numFmtId="0" fontId="15" fillId="0" borderId="37" xfId="0" applyFont="1" applyBorder="1" applyAlignment="1" applyProtection="1">
      <alignment horizontal="center"/>
      <protection locked="0"/>
    </xf>
    <xf numFmtId="0" fontId="16" fillId="0" borderId="13" xfId="0" applyFont="1" applyFill="1" applyBorder="1" applyAlignment="1" applyProtection="1">
      <alignment horizontal="center"/>
      <protection locked="0"/>
    </xf>
    <xf numFmtId="0" fontId="16" fillId="0" borderId="30" xfId="0" applyFont="1" applyFill="1" applyBorder="1" applyAlignment="1" applyProtection="1">
      <alignment horizontal="center"/>
      <protection locked="0"/>
    </xf>
    <xf numFmtId="0" fontId="16" fillId="0" borderId="46" xfId="0" applyFont="1" applyFill="1" applyBorder="1" applyAlignment="1" applyProtection="1">
      <alignment horizontal="center"/>
      <protection locked="0"/>
    </xf>
    <xf numFmtId="0" fontId="0" fillId="0" borderId="16"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0" fillId="0" borderId="47" xfId="0" applyBorder="1" applyAlignment="1">
      <alignment horizontal="center"/>
    </xf>
    <xf numFmtId="0" fontId="15" fillId="0" borderId="1" xfId="0" applyFont="1" applyBorder="1" applyAlignment="1">
      <alignment horizontal="center" wrapText="1"/>
    </xf>
    <xf numFmtId="0" fontId="15" fillId="0" borderId="43" xfId="0" applyFont="1" applyBorder="1" applyAlignment="1">
      <alignment horizontal="center" wrapText="1"/>
    </xf>
    <xf numFmtId="0" fontId="15" fillId="0" borderId="44" xfId="0" applyFont="1" applyBorder="1" applyAlignment="1">
      <alignment horizontal="center" wrapText="1"/>
    </xf>
    <xf numFmtId="0" fontId="15" fillId="0" borderId="5"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xf>
    <xf numFmtId="0" fontId="15" fillId="0" borderId="43" xfId="0" applyFont="1" applyBorder="1" applyAlignment="1">
      <alignment horizontal="center" vertical="center"/>
    </xf>
    <xf numFmtId="0" fontId="15" fillId="0" borderId="44" xfId="0" applyFont="1" applyBorder="1" applyAlignment="1">
      <alignment horizontal="center" vertical="center"/>
    </xf>
    <xf numFmtId="0" fontId="15" fillId="0" borderId="1" xfId="0" applyFont="1" applyBorder="1" applyAlignment="1">
      <alignment horizontal="center"/>
    </xf>
    <xf numFmtId="0" fontId="15" fillId="0" borderId="44" xfId="0" applyFont="1" applyBorder="1" applyAlignment="1">
      <alignment horizontal="center"/>
    </xf>
  </cellXfs>
  <cellStyles count="8">
    <cellStyle name="Comma 2" xfId="3"/>
    <cellStyle name="Normal 2" xfId="4"/>
    <cellStyle name="Normal_vehicles" xfId="5"/>
    <cellStyle name="Percent 2" xfId="7"/>
    <cellStyle name="百分比" xfId="6" builtinId="5"/>
    <cellStyle name="常规" xfId="0" builtinId="0"/>
    <cellStyle name="千位分隔" xfId="2" builtinId="3"/>
    <cellStyle name="着色 1" xfId="1" builtin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Q30"/>
  <sheetViews>
    <sheetView tabSelected="1" topLeftCell="A4" zoomScale="85" zoomScaleNormal="85" workbookViewId="0">
      <selection activeCell="B34" sqref="B34"/>
    </sheetView>
  </sheetViews>
  <sheetFormatPr defaultColWidth="9.109375" defaultRowHeight="14.4" x14ac:dyDescent="0.3"/>
  <cols>
    <col min="1" max="1" width="16" style="183" customWidth="1"/>
    <col min="2" max="2" width="19.44140625" style="183" customWidth="1"/>
    <col min="3" max="3" width="12" style="183" customWidth="1"/>
    <col min="4" max="4" width="9.109375" style="183"/>
    <col min="5" max="5" width="11.5546875" style="183" bestFit="1" customWidth="1"/>
    <col min="6" max="6" width="11.6640625" style="183" bestFit="1" customWidth="1"/>
    <col min="7" max="7" width="9.109375" style="183"/>
    <col min="8" max="8" width="10.44140625" style="183" customWidth="1"/>
    <col min="9" max="9" width="9.109375" style="183"/>
    <col min="10" max="10" width="10.6640625" style="183" customWidth="1"/>
    <col min="11" max="11" width="11.109375" style="183" customWidth="1"/>
    <col min="12" max="16384" width="9.109375" style="183"/>
  </cols>
  <sheetData>
    <row r="2" spans="1:17" ht="15" customHeight="1" x14ac:dyDescent="0.3">
      <c r="A2" s="223" t="s">
        <v>112</v>
      </c>
      <c r="B2" s="223"/>
      <c r="C2" s="223"/>
      <c r="D2" s="223"/>
      <c r="E2" s="223"/>
      <c r="F2" s="223"/>
    </row>
    <row r="3" spans="1:17" x14ac:dyDescent="0.3">
      <c r="A3" s="223"/>
      <c r="B3" s="223"/>
      <c r="C3" s="223"/>
      <c r="D3" s="223"/>
      <c r="E3" s="223"/>
      <c r="F3" s="223"/>
    </row>
    <row r="4" spans="1:17" x14ac:dyDescent="0.3">
      <c r="A4" s="223"/>
      <c r="B4" s="223"/>
      <c r="C4" s="223"/>
      <c r="D4" s="223"/>
      <c r="E4" s="223"/>
      <c r="F4" s="223"/>
    </row>
    <row r="5" spans="1:17" x14ac:dyDescent="0.3">
      <c r="A5" s="184"/>
      <c r="B5" s="184"/>
      <c r="C5" s="184"/>
      <c r="D5" s="184"/>
      <c r="E5" s="184"/>
      <c r="F5" s="184"/>
    </row>
    <row r="6" spans="1:17" ht="15.6" x14ac:dyDescent="0.3">
      <c r="A6" s="185" t="s">
        <v>105</v>
      </c>
      <c r="B6" s="186">
        <v>2011</v>
      </c>
    </row>
    <row r="8" spans="1:17" ht="28.8" x14ac:dyDescent="0.3">
      <c r="A8" s="225" t="s">
        <v>107</v>
      </c>
      <c r="B8" s="225"/>
      <c r="C8" s="187" t="s">
        <v>4</v>
      </c>
      <c r="D8" s="187" t="s">
        <v>15</v>
      </c>
      <c r="E8" s="187" t="s">
        <v>0</v>
      </c>
    </row>
    <row r="9" spans="1:17" x14ac:dyDescent="0.3">
      <c r="A9" s="188" t="s">
        <v>97</v>
      </c>
      <c r="B9" s="189" t="s">
        <v>106</v>
      </c>
      <c r="C9" s="190"/>
      <c r="D9" s="190"/>
      <c r="E9" s="190"/>
    </row>
    <row r="10" spans="1:17" x14ac:dyDescent="0.3">
      <c r="A10" s="188" t="s">
        <v>98</v>
      </c>
      <c r="B10" s="189" t="s">
        <v>106</v>
      </c>
      <c r="C10" s="190"/>
      <c r="D10" s="190"/>
      <c r="E10" s="190"/>
    </row>
    <row r="11" spans="1:17" x14ac:dyDescent="0.3">
      <c r="A11" s="188" t="s">
        <v>99</v>
      </c>
      <c r="B11" s="189" t="s">
        <v>106</v>
      </c>
      <c r="C11" s="190"/>
      <c r="D11" s="190"/>
      <c r="E11" s="190"/>
    </row>
    <row r="12" spans="1:17" ht="28.8" x14ac:dyDescent="0.3">
      <c r="A12" s="224" t="s">
        <v>108</v>
      </c>
      <c r="B12" s="224"/>
      <c r="C12" s="187" t="s">
        <v>4</v>
      </c>
      <c r="D12" s="187" t="s">
        <v>15</v>
      </c>
      <c r="E12" s="187" t="s">
        <v>0</v>
      </c>
    </row>
    <row r="13" spans="1:17" x14ac:dyDescent="0.3">
      <c r="A13" s="188" t="s">
        <v>97</v>
      </c>
      <c r="B13" s="189" t="s">
        <v>106</v>
      </c>
      <c r="C13" s="190"/>
      <c r="D13" s="190"/>
      <c r="E13" s="190"/>
    </row>
    <row r="14" spans="1:17" x14ac:dyDescent="0.3">
      <c r="A14" s="188" t="s">
        <v>98</v>
      </c>
      <c r="B14" s="189" t="s">
        <v>106</v>
      </c>
      <c r="C14" s="190"/>
      <c r="D14" s="190"/>
      <c r="E14" s="190"/>
    </row>
    <row r="15" spans="1:17" x14ac:dyDescent="0.3">
      <c r="A15" s="188" t="s">
        <v>99</v>
      </c>
      <c r="B15" s="189" t="s">
        <v>106</v>
      </c>
      <c r="C15" s="190"/>
      <c r="D15" s="190"/>
      <c r="E15" s="190"/>
      <c r="H15" s="191"/>
      <c r="I15" s="191"/>
      <c r="J15" s="191"/>
      <c r="K15" s="191"/>
      <c r="L15" s="191"/>
      <c r="M15" s="191"/>
      <c r="N15" s="191"/>
      <c r="O15" s="191"/>
      <c r="P15" s="191"/>
      <c r="Q15" s="191"/>
    </row>
    <row r="16" spans="1:17" ht="15" thickBot="1" x14ac:dyDescent="0.35">
      <c r="A16" s="192"/>
      <c r="B16" s="193"/>
      <c r="C16" s="194"/>
      <c r="D16" s="194"/>
      <c r="E16" s="194"/>
      <c r="F16" s="195"/>
      <c r="H16" s="191"/>
      <c r="I16" s="191"/>
      <c r="J16" s="191"/>
      <c r="K16" s="191"/>
      <c r="L16" s="191"/>
      <c r="M16" s="191"/>
      <c r="N16" s="191"/>
      <c r="O16" s="191"/>
      <c r="P16" s="191"/>
      <c r="Q16" s="191"/>
    </row>
    <row r="17" spans="1:17" ht="19.2" thickBot="1" x14ac:dyDescent="0.45">
      <c r="A17" s="232" t="s">
        <v>111</v>
      </c>
      <c r="B17" s="233"/>
      <c r="C17" s="233"/>
      <c r="D17" s="233"/>
      <c r="E17" s="233"/>
      <c r="F17" s="234"/>
      <c r="H17" s="196"/>
      <c r="I17" s="196"/>
      <c r="J17" s="196"/>
      <c r="K17" s="196"/>
      <c r="L17" s="196"/>
      <c r="M17" s="196"/>
      <c r="N17" s="196"/>
      <c r="O17" s="196"/>
      <c r="P17" s="196"/>
      <c r="Q17" s="196"/>
    </row>
    <row r="18" spans="1:17" ht="15" thickBot="1" x14ac:dyDescent="0.35">
      <c r="A18" s="229" t="s">
        <v>107</v>
      </c>
      <c r="B18" s="230"/>
      <c r="C18" s="230"/>
      <c r="D18" s="230"/>
      <c r="E18" s="230"/>
      <c r="F18" s="231"/>
      <c r="H18" s="197"/>
      <c r="I18" s="191"/>
      <c r="J18" s="198"/>
      <c r="K18" s="198"/>
      <c r="L18" s="198"/>
      <c r="M18" s="198"/>
      <c r="N18" s="198"/>
      <c r="O18" s="198"/>
      <c r="P18" s="198"/>
      <c r="Q18" s="199"/>
    </row>
    <row r="19" spans="1:17" ht="29.4" thickBot="1" x14ac:dyDescent="0.35">
      <c r="A19" s="200" t="s">
        <v>110</v>
      </c>
      <c r="B19" s="201"/>
      <c r="C19" s="202" t="s">
        <v>4</v>
      </c>
      <c r="D19" s="202" t="s">
        <v>15</v>
      </c>
      <c r="E19" s="202" t="s">
        <v>0</v>
      </c>
      <c r="F19" s="203" t="s">
        <v>109</v>
      </c>
      <c r="H19" s="204"/>
      <c r="I19" s="191"/>
      <c r="J19" s="205"/>
      <c r="K19" s="205"/>
      <c r="L19" s="205"/>
      <c r="M19" s="205"/>
      <c r="N19" s="205"/>
      <c r="O19" s="205"/>
      <c r="P19" s="205"/>
      <c r="Q19" s="206"/>
    </row>
    <row r="20" spans="1:17" ht="16.2" thickBot="1" x14ac:dyDescent="0.4">
      <c r="A20" s="207" t="s">
        <v>97</v>
      </c>
      <c r="B20" s="201" t="s">
        <v>113</v>
      </c>
      <c r="C20" s="212">
        <f>C9*'Emissions Calculations by year'!D6/10^6</f>
        <v>0</v>
      </c>
      <c r="D20" s="212">
        <f>D9*'Emissions Calculations by year'!E6/10^6</f>
        <v>0</v>
      </c>
      <c r="E20" s="212">
        <f>E9*'Emissions Calculations by year'!F6/10^6</f>
        <v>0</v>
      </c>
      <c r="F20" s="213">
        <f>SUM(C20:E20)</f>
        <v>0</v>
      </c>
      <c r="H20" s="204"/>
      <c r="I20" s="191"/>
      <c r="J20" s="205"/>
      <c r="K20" s="205"/>
      <c r="L20" s="205"/>
      <c r="M20" s="205"/>
      <c r="N20" s="205"/>
      <c r="O20" s="205"/>
      <c r="P20" s="205"/>
      <c r="Q20" s="206"/>
    </row>
    <row r="21" spans="1:17" ht="16.2" thickBot="1" x14ac:dyDescent="0.4">
      <c r="A21" s="207" t="s">
        <v>98</v>
      </c>
      <c r="B21" s="201" t="s">
        <v>113</v>
      </c>
      <c r="C21" s="212">
        <f>C10*'Emissions Calculations by year'!D7/10^6</f>
        <v>0</v>
      </c>
      <c r="D21" s="212">
        <f>D10*'Emissions Calculations by year'!E7/10^6</f>
        <v>0</v>
      </c>
      <c r="E21" s="212">
        <f>E10*'Emissions Calculations by year'!F7/10^6</f>
        <v>0</v>
      </c>
      <c r="F21" s="213">
        <f>SUM(C21:E21)</f>
        <v>0</v>
      </c>
      <c r="H21" s="204"/>
      <c r="I21" s="191"/>
      <c r="J21" s="205"/>
      <c r="K21" s="205"/>
      <c r="L21" s="205"/>
      <c r="M21" s="205"/>
      <c r="N21" s="205"/>
      <c r="O21" s="205"/>
      <c r="P21" s="205"/>
      <c r="Q21" s="206"/>
    </row>
    <row r="22" spans="1:17" ht="16.2" thickBot="1" x14ac:dyDescent="0.4">
      <c r="A22" s="207" t="s">
        <v>99</v>
      </c>
      <c r="B22" s="201" t="s">
        <v>113</v>
      </c>
      <c r="C22" s="212">
        <f>C11*'Emissions Calculations by year'!D8/10^6</f>
        <v>0</v>
      </c>
      <c r="D22" s="212">
        <f>D11*'Emissions Calculations by year'!E8/10^6</f>
        <v>0</v>
      </c>
      <c r="E22" s="212">
        <f>E11*'Emissions Calculations by year'!F8/10^6</f>
        <v>0</v>
      </c>
      <c r="F22" s="213">
        <f>SUM(C22:E22)</f>
        <v>0</v>
      </c>
      <c r="H22" s="208"/>
      <c r="I22" s="191"/>
      <c r="J22" s="206"/>
      <c r="K22" s="206"/>
      <c r="L22" s="206"/>
      <c r="M22" s="206"/>
      <c r="N22" s="206"/>
      <c r="O22" s="206"/>
      <c r="P22" s="206"/>
      <c r="Q22" s="206"/>
    </row>
    <row r="23" spans="1:17" ht="16.2" thickBot="1" x14ac:dyDescent="0.4">
      <c r="A23" s="209" t="s">
        <v>109</v>
      </c>
      <c r="B23" s="201" t="s">
        <v>113</v>
      </c>
      <c r="C23" s="213">
        <f>SUM(C20:C22)</f>
        <v>0</v>
      </c>
      <c r="D23" s="213">
        <f>SUM(D20:D22)</f>
        <v>0</v>
      </c>
      <c r="E23" s="213">
        <f>SUM(E20:E22)</f>
        <v>0</v>
      </c>
      <c r="F23" s="214">
        <f>SUM(C23:E23)</f>
        <v>0</v>
      </c>
      <c r="H23" s="191"/>
      <c r="I23" s="191"/>
      <c r="J23" s="191"/>
      <c r="K23" s="191"/>
      <c r="L23" s="191"/>
      <c r="M23" s="191"/>
      <c r="N23" s="191"/>
      <c r="O23" s="191"/>
      <c r="P23" s="191"/>
      <c r="Q23" s="191"/>
    </row>
    <row r="24" spans="1:17" ht="15" thickBot="1" x14ac:dyDescent="0.35">
      <c r="A24" s="226" t="s">
        <v>108</v>
      </c>
      <c r="B24" s="227"/>
      <c r="C24" s="227"/>
      <c r="D24" s="227"/>
      <c r="E24" s="227"/>
      <c r="F24" s="228"/>
    </row>
    <row r="25" spans="1:17" ht="29.4" thickBot="1" x14ac:dyDescent="0.35">
      <c r="A25" s="210" t="s">
        <v>110</v>
      </c>
      <c r="B25" s="201"/>
      <c r="C25" s="202" t="s">
        <v>4</v>
      </c>
      <c r="D25" s="202" t="s">
        <v>15</v>
      </c>
      <c r="E25" s="202" t="s">
        <v>0</v>
      </c>
      <c r="F25" s="203" t="s">
        <v>109</v>
      </c>
    </row>
    <row r="26" spans="1:17" ht="16.2" thickBot="1" x14ac:dyDescent="0.4">
      <c r="A26" s="207" t="s">
        <v>97</v>
      </c>
      <c r="B26" s="201" t="s">
        <v>113</v>
      </c>
      <c r="C26" s="212">
        <f>C13*'Emissions Calculations by year'!D10/10^6</f>
        <v>0</v>
      </c>
      <c r="D26" s="212">
        <f>D13*'Emissions Calculations by year'!E10/10^6</f>
        <v>0</v>
      </c>
      <c r="E26" s="212">
        <f>E13*'Emissions Calculations by year'!F10/10^6</f>
        <v>0</v>
      </c>
      <c r="F26" s="213">
        <f>SUM(C26:E26)</f>
        <v>0</v>
      </c>
    </row>
    <row r="27" spans="1:17" ht="16.2" thickBot="1" x14ac:dyDescent="0.4">
      <c r="A27" s="207" t="s">
        <v>98</v>
      </c>
      <c r="B27" s="201" t="s">
        <v>113</v>
      </c>
      <c r="C27" s="212">
        <f>C14*'Emissions Calculations by year'!D11/10^6</f>
        <v>0</v>
      </c>
      <c r="D27" s="212">
        <f>D14*'Emissions Calculations by year'!E11/10^6</f>
        <v>0</v>
      </c>
      <c r="E27" s="212">
        <f>E14*'Emissions Calculations by year'!F11/10^6</f>
        <v>0</v>
      </c>
      <c r="F27" s="213">
        <f>SUM(C27:E27)</f>
        <v>0</v>
      </c>
    </row>
    <row r="28" spans="1:17" ht="16.2" thickBot="1" x14ac:dyDescent="0.4">
      <c r="A28" s="207" t="s">
        <v>99</v>
      </c>
      <c r="B28" s="201" t="s">
        <v>113</v>
      </c>
      <c r="C28" s="212">
        <f>C15*'Emissions Calculations by year'!D12/10^6</f>
        <v>0</v>
      </c>
      <c r="D28" s="212">
        <f>D15*'Emissions Calculations by year'!E12/10^6</f>
        <v>0</v>
      </c>
      <c r="E28" s="212">
        <f>E15*'Emissions Calculations by year'!F12/10^6</f>
        <v>0</v>
      </c>
      <c r="F28" s="213">
        <f>SUM(C28:E28)</f>
        <v>0</v>
      </c>
    </row>
    <row r="29" spans="1:17" ht="16.2" thickBot="1" x14ac:dyDescent="0.4">
      <c r="A29" s="211" t="s">
        <v>109</v>
      </c>
      <c r="B29" s="201" t="s">
        <v>113</v>
      </c>
      <c r="C29" s="213">
        <f>SUM(C26:C28)</f>
        <v>0</v>
      </c>
      <c r="D29" s="213">
        <f>SUM(D26:D28)</f>
        <v>0</v>
      </c>
      <c r="E29" s="213">
        <f>SUM(E26:E28)</f>
        <v>0</v>
      </c>
      <c r="F29" s="214">
        <f>SUM(C29:E29)</f>
        <v>0</v>
      </c>
    </row>
    <row r="30" spans="1:17" x14ac:dyDescent="0.3">
      <c r="A30" s="208"/>
      <c r="B30" s="191"/>
      <c r="C30" s="206"/>
      <c r="D30" s="206"/>
      <c r="E30" s="206"/>
      <c r="F30" s="206"/>
      <c r="G30" s="191"/>
      <c r="H30" s="191"/>
    </row>
  </sheetData>
  <sheetProtection password="CA31" sheet="1" selectLockedCells="1"/>
  <mergeCells count="6">
    <mergeCell ref="A2:F4"/>
    <mergeCell ref="A12:B12"/>
    <mergeCell ref="A8:B8"/>
    <mergeCell ref="A24:F24"/>
    <mergeCell ref="A18:F18"/>
    <mergeCell ref="A17:F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I16"/>
  <sheetViews>
    <sheetView zoomScale="80" zoomScaleNormal="80" workbookViewId="0">
      <selection activeCell="C11" sqref="C11"/>
    </sheetView>
  </sheetViews>
  <sheetFormatPr defaultRowHeight="14.4" x14ac:dyDescent="0.3"/>
  <cols>
    <col min="1" max="2" width="18.109375" customWidth="1"/>
    <col min="3" max="3" width="12.44140625" customWidth="1"/>
    <col min="4" max="4" width="11.33203125" customWidth="1"/>
    <col min="5" max="5" width="11.33203125" bestFit="1" customWidth="1"/>
    <col min="6" max="6" width="12.33203125" bestFit="1" customWidth="1"/>
    <col min="7" max="9" width="11.33203125" bestFit="1" customWidth="1"/>
    <col min="10" max="10" width="10.44140625" customWidth="1"/>
    <col min="11" max="11" width="12.33203125" customWidth="1"/>
    <col min="12" max="12" width="10.44140625" customWidth="1"/>
  </cols>
  <sheetData>
    <row r="3" spans="1:9" x14ac:dyDescent="0.3">
      <c r="A3" s="1" t="s">
        <v>96</v>
      </c>
      <c r="D3" s="153"/>
      <c r="E3" s="153"/>
    </row>
    <row r="4" spans="1:9" ht="28.8" x14ac:dyDescent="0.3">
      <c r="B4" s="159" t="s">
        <v>101</v>
      </c>
      <c r="C4" s="156" t="s">
        <v>5</v>
      </c>
      <c r="D4" s="157" t="s">
        <v>4</v>
      </c>
      <c r="E4" s="157" t="s">
        <v>15</v>
      </c>
      <c r="F4" s="157" t="s">
        <v>0</v>
      </c>
      <c r="G4" s="157" t="s">
        <v>6</v>
      </c>
      <c r="H4" s="157" t="s">
        <v>7</v>
      </c>
      <c r="I4" s="158" t="s">
        <v>8</v>
      </c>
    </row>
    <row r="5" spans="1:9" ht="18" x14ac:dyDescent="0.35">
      <c r="A5" s="164" t="s">
        <v>103</v>
      </c>
      <c r="B5" s="160"/>
      <c r="C5" s="160"/>
      <c r="D5" s="160"/>
      <c r="E5" s="160"/>
      <c r="F5" s="160"/>
      <c r="G5" s="160"/>
      <c r="H5" s="160"/>
      <c r="I5" s="50"/>
    </row>
    <row r="6" spans="1:9" x14ac:dyDescent="0.3">
      <c r="A6" s="75" t="s">
        <v>97</v>
      </c>
      <c r="B6" s="161">
        <v>5</v>
      </c>
      <c r="C6" s="173">
        <f>'Emission Factors'!C6</f>
        <v>738.07500000000005</v>
      </c>
      <c r="D6" s="177">
        <f>'Emission Factors'!D6*VLOOKUP('GHG emissions calculator'!$B$6,'Emission Factors'!$A$31:$G$59,5)</f>
        <v>1155.7953182743775</v>
      </c>
      <c r="E6" s="177">
        <f>'Emission Factors'!E6*VLOOKUP('GHG emissions calculator'!$B$6,'Emission Factors'!$A$31:$G$59,5)</f>
        <v>1046.7443393032877</v>
      </c>
      <c r="F6" s="177">
        <f>'Emission Factors'!F6*VLOOKUP('GHG emissions calculator'!$B$6,'Emission Factors'!$A$31:$G$59,7)</f>
        <v>3604.8260198443681</v>
      </c>
      <c r="G6" s="177">
        <f>'Emission Factors'!G6*VLOOKUP('GHG emissions calculator'!$B$6,'Emission Factors'!$A$31:$G$59,7)</f>
        <v>4219.4199723182619</v>
      </c>
      <c r="H6" s="177">
        <f>'Emission Factors'!H6*VLOOKUP('GHG emissions calculator'!$B$6,'Emission Factors'!$A$31:$G$59,7)</f>
        <v>4124.3007505843852</v>
      </c>
      <c r="I6" s="179">
        <f>'Emission Factors'!I6*VLOOKUP('GHG emissions calculator'!$B$6,'Emission Factors'!$A$31:$G$59,7)</f>
        <v>3499.7040169042962</v>
      </c>
    </row>
    <row r="7" spans="1:9" x14ac:dyDescent="0.3">
      <c r="A7" s="75" t="s">
        <v>98</v>
      </c>
      <c r="B7" s="161">
        <v>10</v>
      </c>
      <c r="C7" s="171">
        <f>'Emission Factors'!C7</f>
        <v>477.96300000000002</v>
      </c>
      <c r="D7" s="178">
        <f>'Emission Factors'!D7*VLOOKUP('GHG emissions calculator'!$B$6,'Emission Factors'!$A$31:$G$59,5)</f>
        <v>703.63257834038222</v>
      </c>
      <c r="E7" s="178">
        <f>'Emission Factors'!E7*VLOOKUP('GHG emissions calculator'!$B$6,'Emission Factors'!$A$31:$G$59,5)</f>
        <v>629.72044743085985</v>
      </c>
      <c r="F7" s="178">
        <f>'Emission Factors'!F7*VLOOKUP('GHG emissions calculator'!$B$6,'Emission Factors'!$A$31:$G$59,7)</f>
        <v>2223.8014301485173</v>
      </c>
      <c r="G7" s="178">
        <f>'Emission Factors'!G7*VLOOKUP('GHG emissions calculator'!$B$6,'Emission Factors'!$A$31:$G$59,7)</f>
        <v>2837.7530620993925</v>
      </c>
      <c r="H7" s="178">
        <f>'Emission Factors'!H7*VLOOKUP('GHG emissions calculator'!$B$6,'Emission Factors'!$A$31:$G$59,7)</f>
        <v>2726.6819243918808</v>
      </c>
      <c r="I7" s="180">
        <f>'Emission Factors'!I7*VLOOKUP('GHG emissions calculator'!$B$6,'Emission Factors'!$A$31:$G$59,7)</f>
        <v>2143.633402282006</v>
      </c>
    </row>
    <row r="8" spans="1:9" x14ac:dyDescent="0.3">
      <c r="A8" s="6" t="s">
        <v>99</v>
      </c>
      <c r="B8" s="162">
        <v>28</v>
      </c>
      <c r="C8" s="172">
        <f>'Emission Factors'!K9</f>
        <v>371.46</v>
      </c>
      <c r="D8" s="181">
        <f>'Emission Factors'!L9*VLOOKUP('GHG emissions calculator'!$B$6,'Emission Factors'!$A$31:$G$59,5)</f>
        <v>496.45771256234207</v>
      </c>
      <c r="E8" s="181">
        <f>'Emission Factors'!M9*VLOOKUP('GHG emissions calculator'!$B$6,'Emission Factors'!$A$31:$G$59,5)</f>
        <v>440.03932345011305</v>
      </c>
      <c r="F8" s="181">
        <f>'Emission Factors'!N9*VLOOKUP('GHG emissions calculator'!$B$6,'Emission Factors'!$A$31:$G$59,7)</f>
        <v>1703.4515884136911</v>
      </c>
      <c r="G8" s="181">
        <f>'Emission Factors'!O9*VLOOKUP('GHG emissions calculator'!$B$6,'Emission Factors'!$A$31:$G$59,7)</f>
        <v>2188.6107685708039</v>
      </c>
      <c r="H8" s="181">
        <f>'Emission Factors'!P9*VLOOKUP('GHG emissions calculator'!$B$6,'Emission Factors'!$A$31:$G$59,7)</f>
        <v>1072.7959629323386</v>
      </c>
      <c r="I8" s="182">
        <f>'Emission Factors'!Q9*VLOOKUP('GHG emissions calculator'!$B$6,'Emission Factors'!$A$31:$G$59,7)</f>
        <v>837.54583356521152</v>
      </c>
    </row>
    <row r="9" spans="1:9" ht="23.25" customHeight="1" x14ac:dyDescent="0.35">
      <c r="A9" s="164" t="s">
        <v>104</v>
      </c>
      <c r="B9" s="163"/>
      <c r="C9" s="177"/>
      <c r="D9" s="177"/>
      <c r="E9" s="177"/>
      <c r="F9" s="177"/>
      <c r="G9" s="177"/>
      <c r="H9" s="177"/>
      <c r="I9" s="177"/>
    </row>
    <row r="10" spans="1:9" x14ac:dyDescent="0.3">
      <c r="A10" s="2" t="s">
        <v>97</v>
      </c>
      <c r="B10" s="174">
        <v>9</v>
      </c>
      <c r="C10" s="173">
        <f>C6+(4/5)*(C7-C6)</f>
        <v>529.98540000000003</v>
      </c>
      <c r="D10" s="177">
        <f>(D6+(4/5)*(D7-D6))*VLOOKUP('GHG emissions calculator'!$B$6,'Emission Factors'!$A$31:$G$59,5)</f>
        <v>777.12115882956391</v>
      </c>
      <c r="E10" s="177">
        <f>(E6+(4/5)*(E7-E6))*VLOOKUP('GHG emissions calculator'!$B$6,'Emission Factors'!$A$31:$G$59,5)</f>
        <v>697.90837488574198</v>
      </c>
      <c r="F10" s="177">
        <f>(F6+(4/5)*(F7-F6))*VLOOKUP('GHG emissions calculator'!$B$6,'Emission Factors'!$A$31:$G$59,7)</f>
        <v>2467.8150493965622</v>
      </c>
      <c r="G10" s="177">
        <f>(G6+(4/5)*(G7-G6))*VLOOKUP('GHG emissions calculator'!$B$6,'Emission Factors'!$A$31:$G$59,7)</f>
        <v>3073.9879512133075</v>
      </c>
      <c r="H10" s="177">
        <f>(H6+(4/5)*(H7-H6))*VLOOKUP('GHG emissions calculator'!$B$6,'Emission Factors'!$A$31:$G$59,7)</f>
        <v>2967.4963218098255</v>
      </c>
      <c r="I10" s="179">
        <f>(I6+(4/5)*(I7-I6))*VLOOKUP('GHG emissions calculator'!$B$6,'Emission Factors'!$A$31:$G$59,7)</f>
        <v>2383.7527729723715</v>
      </c>
    </row>
    <row r="11" spans="1:9" x14ac:dyDescent="0.3">
      <c r="A11" s="75" t="s">
        <v>98</v>
      </c>
      <c r="B11" s="175">
        <v>17</v>
      </c>
      <c r="C11" s="171">
        <f>'Emission Factors'!C8+(2/5)*('Emission Factors'!C9-'Emission Factors'!C8)</f>
        <v>389.97920000000005</v>
      </c>
      <c r="D11" s="178">
        <f>('Emission Factors'!D8+(2/5)*('Emission Factors'!D9-'Emission Factors'!D8))*VLOOKUP('GHG emissions calculator'!$B$6,'Emission Factors'!$A$31:$G$59,5)</f>
        <v>520.12903586295863</v>
      </c>
      <c r="E11" s="178">
        <f>('Emission Factors'!E8+(2/5)*('Emission Factors'!E9-'Emission Factors'!E8))*VLOOKUP('GHG emissions calculator'!$B$6,'Emission Factors'!$A$31:$G$59,5)</f>
        <v>465.52451901698697</v>
      </c>
      <c r="F11" s="178">
        <f>('Emission Factors'!F8+(2/5)*('Emission Factors'!F9-'Emission Factors'!F8))*VLOOKUP('GHG emissions calculator'!$B$6,'Emission Factors'!$A$31:$G$59,7)</f>
        <v>1839.0002817046768</v>
      </c>
      <c r="G11" s="178">
        <f>('Emission Factors'!G8+(2/5)*('Emission Factors'!G9-'Emission Factors'!G8))*VLOOKUP('GHG emissions calculator'!$B$6,'Emission Factors'!$A$31:$G$59,7)</f>
        <v>2336.3180083479615</v>
      </c>
      <c r="H11" s="178">
        <f>('Emission Factors'!H8+(2/5)*('Emission Factors'!H9-'Emission Factors'!H8))*VLOOKUP('GHG emissions calculator'!$B$6,'Emission Factors'!$A$31:$G$59,7)</f>
        <v>2163.1587759059403</v>
      </c>
      <c r="I11" s="180">
        <f>('Emission Factors'!I8+(2/5)*('Emission Factors'!I9-'Emission Factors'!I8))*VLOOKUP('GHG emissions calculator'!$B$6,'Emission Factors'!$A$31:$G$59,7)</f>
        <v>1645.9258432560084</v>
      </c>
    </row>
    <row r="12" spans="1:9" x14ac:dyDescent="0.3">
      <c r="A12" s="6" t="s">
        <v>99</v>
      </c>
      <c r="B12" s="176">
        <v>38</v>
      </c>
      <c r="C12" s="172">
        <f>'Emission Factors'!K12+(3/5)*('Emission Factors'!K13-'Emission Factors'!K12)</f>
        <v>338.26620000000003</v>
      </c>
      <c r="D12" s="181">
        <f>('Emission Factors'!L12+(3/5)*('Emission Factors'!L13-'Emission Factors'!L12))*VLOOKUP('GHG emissions calculator'!$B$6,'Emission Factors'!$A$31:$G$59,5)</f>
        <v>367.33658043191269</v>
      </c>
      <c r="E12" s="181">
        <f>('Emission Factors'!M12+(3/5)*('Emission Factors'!M13-'Emission Factors'!M12))*VLOOKUP('GHG emissions calculator'!$B$6,'Emission Factors'!$A$31:$G$59,5)</f>
        <v>323.13121740879114</v>
      </c>
      <c r="F12" s="181">
        <f>('Emission Factors'!N12+(3/5)*('Emission Factors'!N13-'Emission Factors'!N12))*VLOOKUP('GHG emissions calculator'!$B$6,'Emission Factors'!$A$31:$G$59,7)</f>
        <v>1253.6624074211134</v>
      </c>
      <c r="G12" s="181">
        <f>('Emission Factors'!O12+(3/5)*('Emission Factors'!O13-'Emission Factors'!O12))*VLOOKUP('GHG emissions calculator'!$B$6,'Emission Factors'!$A$31:$G$59,7)</f>
        <v>1601.6888443274966</v>
      </c>
      <c r="H12" s="181">
        <f>('Emission Factors'!P12+(3/5)*('Emission Factors'!P13-'Emission Factors'!P12))*VLOOKUP('GHG emissions calculator'!$B$6,'Emission Factors'!$A$31:$G$59,7)</f>
        <v>1051.9025066515246</v>
      </c>
      <c r="I12" s="182">
        <f>('Emission Factors'!Q12+(3/5)*('Emission Factors'!Q13-'Emission Factors'!Q12))*VLOOKUP('GHG emissions calculator'!$B$6,'Emission Factors'!$A$31:$G$59,7)</f>
        <v>755.72429410377981</v>
      </c>
    </row>
    <row r="13" spans="1:9" ht="18" x14ac:dyDescent="0.4">
      <c r="A13" s="24" t="s">
        <v>102</v>
      </c>
      <c r="B13" s="166"/>
      <c r="C13" s="6"/>
      <c r="D13" s="3"/>
      <c r="E13" s="3"/>
      <c r="F13" s="3"/>
      <c r="G13" s="3"/>
      <c r="H13" s="3"/>
      <c r="I13" s="4"/>
    </row>
    <row r="14" spans="1:9" x14ac:dyDescent="0.3">
      <c r="A14" s="167"/>
      <c r="B14" s="165"/>
      <c r="C14" s="168">
        <f>'Emission Factors'!C25</f>
        <v>82.365942519802928</v>
      </c>
      <c r="D14" s="169">
        <f>'Emission Factors'!D25*VLOOKUP('GHG emissions calculator'!$B$6,'Emission Factors'!$A$31:$G$59,5)</f>
        <v>105.6005708985639</v>
      </c>
      <c r="E14" s="169">
        <f>'Emission Factors'!D25*VLOOKUP('GHG emissions calculator'!$B$6,'Emission Factors'!$A$31:$G$59,5)</f>
        <v>105.6005708985639</v>
      </c>
      <c r="F14" s="169">
        <f>'Emission Factors'!E25*VLOOKUP('GHG emissions calculator'!$B$6,'Emission Factors'!$A$31:$G$59,7)</f>
        <v>96.227615361618334</v>
      </c>
      <c r="G14" s="169">
        <f>'Emission Factors'!F25*VLOOKUP('GHG emissions calculator'!$B$6,'Emission Factors'!$A$31:$G$59,7)</f>
        <v>125.28427826900946</v>
      </c>
      <c r="H14" s="169">
        <f>'Emission Factors'!G25*VLOOKUP('GHG emissions calculator'!$B$6,'Emission Factors'!$A$31:$G$59,7)</f>
        <v>96.638953426635979</v>
      </c>
      <c r="I14" s="170">
        <f>'Emission Factors'!H25*VLOOKUP('GHG emissions calculator'!$B$6,'Emission Factors'!$A$31:$G$59,7)</f>
        <v>115.94683194040942</v>
      </c>
    </row>
    <row r="15" spans="1:9" x14ac:dyDescent="0.3">
      <c r="A15" s="155" t="s">
        <v>100</v>
      </c>
    </row>
    <row r="16" spans="1:9" x14ac:dyDescent="0.3">
      <c r="B16" s="155"/>
      <c r="C16" s="154"/>
      <c r="D16" s="5"/>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V60"/>
  <sheetViews>
    <sheetView topLeftCell="A10" zoomScale="85" zoomScaleNormal="85" workbookViewId="0">
      <selection activeCell="G59" sqref="G59"/>
    </sheetView>
  </sheetViews>
  <sheetFormatPr defaultRowHeight="14.4" x14ac:dyDescent="0.3"/>
  <cols>
    <col min="1" max="1" width="8.44140625" customWidth="1"/>
    <col min="2" max="2" width="10.88671875" style="11" customWidth="1"/>
    <col min="3" max="3" width="13" customWidth="1"/>
    <col min="4" max="9" width="12" customWidth="1"/>
    <col min="10" max="10" width="2.88671875" customWidth="1"/>
    <col min="11" max="11" width="13.44140625" customWidth="1"/>
    <col min="12" max="17" width="12" customWidth="1"/>
    <col min="18" max="18" width="2.5546875" customWidth="1"/>
    <col min="19" max="19" width="11.109375" customWidth="1"/>
    <col min="20" max="20" width="13.109375" customWidth="1"/>
    <col min="21" max="21" width="9.109375" customWidth="1"/>
    <col min="22" max="22" width="11.109375" customWidth="1"/>
  </cols>
  <sheetData>
    <row r="1" spans="1:22" ht="18" x14ac:dyDescent="0.4">
      <c r="A1" s="24" t="s">
        <v>13</v>
      </c>
    </row>
    <row r="2" spans="1:22" ht="27" customHeight="1" thickBot="1" x14ac:dyDescent="0.35">
      <c r="A2" s="96" t="s">
        <v>14</v>
      </c>
    </row>
    <row r="3" spans="1:22" ht="15" thickBot="1" x14ac:dyDescent="0.35">
      <c r="C3" s="92" t="s">
        <v>1</v>
      </c>
      <c r="D3" s="93"/>
      <c r="E3" s="93"/>
      <c r="F3" s="93"/>
      <c r="G3" s="93"/>
      <c r="H3" s="93"/>
      <c r="I3" s="94"/>
      <c r="J3" s="89"/>
      <c r="K3" s="95" t="s">
        <v>2</v>
      </c>
      <c r="L3" s="93"/>
      <c r="M3" s="93"/>
      <c r="N3" s="93"/>
      <c r="O3" s="93"/>
      <c r="P3" s="93"/>
      <c r="Q3" s="94"/>
      <c r="S3" s="237" t="s">
        <v>29</v>
      </c>
      <c r="T3" s="238"/>
      <c r="U3" s="235" t="s">
        <v>32</v>
      </c>
      <c r="V3" s="236"/>
    </row>
    <row r="4" spans="1:22" ht="53.25" customHeight="1" thickBot="1" x14ac:dyDescent="0.35">
      <c r="A4" s="23" t="s">
        <v>12</v>
      </c>
      <c r="B4" s="21" t="s">
        <v>54</v>
      </c>
      <c r="C4" s="86" t="s">
        <v>5</v>
      </c>
      <c r="D4" s="87" t="s">
        <v>4</v>
      </c>
      <c r="E4" s="87" t="s">
        <v>15</v>
      </c>
      <c r="F4" s="87" t="s">
        <v>0</v>
      </c>
      <c r="G4" s="87" t="s">
        <v>6</v>
      </c>
      <c r="H4" s="87" t="s">
        <v>7</v>
      </c>
      <c r="I4" s="88" t="s">
        <v>8</v>
      </c>
      <c r="J4" s="91"/>
      <c r="K4" s="86" t="s">
        <v>5</v>
      </c>
      <c r="L4" s="87" t="s">
        <v>4</v>
      </c>
      <c r="M4" s="87" t="s">
        <v>15</v>
      </c>
      <c r="N4" s="87" t="s">
        <v>0</v>
      </c>
      <c r="O4" s="87" t="s">
        <v>6</v>
      </c>
      <c r="P4" s="87" t="s">
        <v>7</v>
      </c>
      <c r="Q4" s="88" t="s">
        <v>8</v>
      </c>
      <c r="S4" s="56" t="s">
        <v>30</v>
      </c>
      <c r="T4" s="85" t="s">
        <v>31</v>
      </c>
      <c r="U4" s="57" t="s">
        <v>33</v>
      </c>
      <c r="V4" s="58" t="s">
        <v>34</v>
      </c>
    </row>
    <row r="5" spans="1:22" x14ac:dyDescent="0.3">
      <c r="A5" s="17">
        <v>2010</v>
      </c>
      <c r="B5" s="54">
        <v>2.5</v>
      </c>
      <c r="C5" s="51">
        <v>1276.0999999999999</v>
      </c>
      <c r="D5" s="52">
        <v>2110.2759226748626</v>
      </c>
      <c r="E5" s="52">
        <f>S5*((1-U5)+(1-V5)*U5)</f>
        <v>1929.8922725692</v>
      </c>
      <c r="F5" s="52">
        <v>7200.859857712403</v>
      </c>
      <c r="G5" s="52">
        <v>8312.9</v>
      </c>
      <c r="H5" s="52">
        <v>8140.77</v>
      </c>
      <c r="I5" s="53">
        <v>6963.0320960981007</v>
      </c>
      <c r="J5" s="5"/>
      <c r="K5" s="51">
        <v>1276.0999999999999</v>
      </c>
      <c r="L5" s="52">
        <v>2119.3966067711635</v>
      </c>
      <c r="M5" s="52">
        <f>T5*((1-U5)+(1-V5)*U5)</f>
        <v>1929.9022295156001</v>
      </c>
      <c r="N5" s="52">
        <v>7181.0124507282353</v>
      </c>
      <c r="O5" s="52">
        <v>8312.9</v>
      </c>
      <c r="P5" s="52">
        <v>6289.13</v>
      </c>
      <c r="Q5" s="53">
        <v>4992.6318709657999</v>
      </c>
      <c r="S5" s="19">
        <v>1929.8922725692</v>
      </c>
      <c r="T5" s="15">
        <v>1929.9022295156001</v>
      </c>
      <c r="U5" s="55">
        <v>0.21</v>
      </c>
      <c r="V5" s="59"/>
    </row>
    <row r="6" spans="1:22" x14ac:dyDescent="0.3">
      <c r="A6" s="17"/>
      <c r="B6" s="54">
        <v>5</v>
      </c>
      <c r="C6" s="51">
        <v>738.07500000000005</v>
      </c>
      <c r="D6" s="52">
        <v>1180.9957108826998</v>
      </c>
      <c r="E6" s="52">
        <f t="shared" ref="E6:E20" si="0">S6*((1-U6)+(1-V6)*U6)</f>
        <v>1069.5670380060001</v>
      </c>
      <c r="F6" s="52">
        <v>3651.8490052835423</v>
      </c>
      <c r="G6" s="52">
        <v>4274.46</v>
      </c>
      <c r="H6" s="52">
        <v>4178.1000000000004</v>
      </c>
      <c r="I6" s="53">
        <v>3545.3557432629</v>
      </c>
      <c r="J6" s="5"/>
      <c r="K6" s="51">
        <v>759.40800000000002</v>
      </c>
      <c r="L6" s="52">
        <v>1199.8993956317368</v>
      </c>
      <c r="M6" s="52">
        <f t="shared" ref="M6:M20" si="1">T6*((1-U6)+(1-V6)*U6)</f>
        <v>1085.6201263004</v>
      </c>
      <c r="N6" s="52">
        <v>3644.3296162187708</v>
      </c>
      <c r="O6" s="52">
        <v>4274.46</v>
      </c>
      <c r="P6" s="52">
        <v>3144.56</v>
      </c>
      <c r="Q6" s="53">
        <v>2496.3259354829001</v>
      </c>
      <c r="S6" s="19">
        <v>1069.5670380060001</v>
      </c>
      <c r="T6" s="15">
        <v>1085.6201263004</v>
      </c>
      <c r="U6" s="55">
        <v>0.21</v>
      </c>
      <c r="V6" s="59"/>
    </row>
    <row r="7" spans="1:22" x14ac:dyDescent="0.3">
      <c r="A7" s="17"/>
      <c r="B7" s="54">
        <v>10</v>
      </c>
      <c r="C7" s="51">
        <v>477.96300000000002</v>
      </c>
      <c r="D7" s="52">
        <v>718.97423697649572</v>
      </c>
      <c r="E7" s="52">
        <f t="shared" si="0"/>
        <v>643.45056232043999</v>
      </c>
      <c r="F7" s="52">
        <v>2252.8097045267641</v>
      </c>
      <c r="G7" s="52">
        <v>2874.77</v>
      </c>
      <c r="H7" s="52">
        <v>2762.25</v>
      </c>
      <c r="I7" s="53">
        <v>2171.5959285475001</v>
      </c>
      <c r="J7" s="5"/>
      <c r="K7" s="51">
        <v>501.06299999999999</v>
      </c>
      <c r="L7" s="52">
        <v>740.16422251763538</v>
      </c>
      <c r="M7" s="52">
        <f t="shared" si="1"/>
        <v>663.47108115083995</v>
      </c>
      <c r="N7" s="52">
        <v>2248.6733191848948</v>
      </c>
      <c r="O7" s="52">
        <v>2874.77</v>
      </c>
      <c r="P7" s="52">
        <v>1572.28</v>
      </c>
      <c r="Q7" s="53">
        <v>1248.1594181246001</v>
      </c>
      <c r="S7" s="19">
        <v>643.45056232043999</v>
      </c>
      <c r="T7" s="15">
        <v>663.47108115083995</v>
      </c>
      <c r="U7" s="55">
        <v>0.21</v>
      </c>
      <c r="V7" s="59"/>
    </row>
    <row r="8" spans="1:22" x14ac:dyDescent="0.3">
      <c r="A8" s="17"/>
      <c r="B8" s="54">
        <v>15</v>
      </c>
      <c r="C8" s="51">
        <v>408.48200000000003</v>
      </c>
      <c r="D8" s="52">
        <v>570.00928448926743</v>
      </c>
      <c r="E8" s="52">
        <f t="shared" si="0"/>
        <v>509.24956463340004</v>
      </c>
      <c r="F8" s="52">
        <v>1955.4151417294661</v>
      </c>
      <c r="G8" s="52">
        <v>2466.5500000000002</v>
      </c>
      <c r="H8" s="52">
        <v>2299.38</v>
      </c>
      <c r="I8" s="53">
        <v>1759.4470302650002</v>
      </c>
      <c r="J8" s="5"/>
      <c r="K8" s="51">
        <v>414.947</v>
      </c>
      <c r="L8" s="52">
        <v>586.91719205099912</v>
      </c>
      <c r="M8" s="52">
        <f t="shared" si="1"/>
        <v>522.75739225872007</v>
      </c>
      <c r="N8" s="52">
        <v>1950.9573193421697</v>
      </c>
      <c r="O8" s="52">
        <v>2466.5500000000002</v>
      </c>
      <c r="P8" s="52">
        <v>1048.19</v>
      </c>
      <c r="Q8" s="53">
        <v>832.10565533977001</v>
      </c>
      <c r="S8" s="19">
        <v>509.24956463340004</v>
      </c>
      <c r="T8" s="15">
        <v>522.75739225872007</v>
      </c>
      <c r="U8" s="55">
        <v>0.21</v>
      </c>
      <c r="V8" s="59"/>
    </row>
    <row r="9" spans="1:22" x14ac:dyDescent="0.3">
      <c r="A9" s="17"/>
      <c r="B9" s="54">
        <v>20</v>
      </c>
      <c r="C9" s="51">
        <v>362.22500000000002</v>
      </c>
      <c r="D9" s="52">
        <v>473.66025706713731</v>
      </c>
      <c r="E9" s="52">
        <f t="shared" si="0"/>
        <v>425.31211966975997</v>
      </c>
      <c r="F9" s="52">
        <v>1724.3498758813184</v>
      </c>
      <c r="G9" s="52">
        <v>2217.16</v>
      </c>
      <c r="H9" s="52">
        <v>2029.37</v>
      </c>
      <c r="I9" s="53">
        <v>1529.319570614</v>
      </c>
      <c r="J9" s="5"/>
      <c r="K9" s="51">
        <v>371.46</v>
      </c>
      <c r="L9" s="52">
        <v>507.28223232997675</v>
      </c>
      <c r="M9" s="52">
        <f t="shared" si="1"/>
        <v>449.63372441255996</v>
      </c>
      <c r="N9" s="52">
        <v>1725.6721834708067</v>
      </c>
      <c r="O9" s="52">
        <v>2217.16</v>
      </c>
      <c r="P9" s="52">
        <v>1086.79</v>
      </c>
      <c r="Q9" s="53">
        <v>848.47116125636001</v>
      </c>
      <c r="S9" s="19">
        <v>425.31211966975997</v>
      </c>
      <c r="T9" s="15">
        <v>449.63372441255996</v>
      </c>
      <c r="U9" s="55">
        <v>0.21</v>
      </c>
      <c r="V9" s="59"/>
    </row>
    <row r="10" spans="1:22" x14ac:dyDescent="0.3">
      <c r="A10" s="17"/>
      <c r="B10" s="54">
        <v>25</v>
      </c>
      <c r="C10" s="51">
        <v>341.83199999999999</v>
      </c>
      <c r="D10" s="52">
        <v>423.61149438273338</v>
      </c>
      <c r="E10" s="52">
        <f t="shared" si="0"/>
        <v>379.15069077108001</v>
      </c>
      <c r="F10" s="52">
        <v>1586.7561261676874</v>
      </c>
      <c r="G10" s="52">
        <v>2030.8</v>
      </c>
      <c r="H10" s="52">
        <v>1856.19</v>
      </c>
      <c r="I10" s="53">
        <v>1337.2651472655</v>
      </c>
      <c r="J10" s="5"/>
      <c r="K10" s="51">
        <v>344.50700000000001</v>
      </c>
      <c r="L10" s="52">
        <v>453.43271225733292</v>
      </c>
      <c r="M10" s="52">
        <f t="shared" si="1"/>
        <v>400.19344504499998</v>
      </c>
      <c r="N10" s="52">
        <v>1587.706835337367</v>
      </c>
      <c r="O10" s="52">
        <v>2030.8</v>
      </c>
      <c r="P10" s="52">
        <v>1109.95</v>
      </c>
      <c r="Q10" s="53">
        <v>858.28963274501007</v>
      </c>
      <c r="S10" s="19">
        <v>379.15069077108001</v>
      </c>
      <c r="T10" s="15">
        <v>400.19344504499998</v>
      </c>
      <c r="U10" s="55">
        <v>0.21</v>
      </c>
      <c r="V10" s="59"/>
    </row>
    <row r="11" spans="1:22" x14ac:dyDescent="0.3">
      <c r="A11" s="17"/>
      <c r="B11" s="54">
        <v>30</v>
      </c>
      <c r="C11" s="51">
        <v>329.25700000000001</v>
      </c>
      <c r="D11" s="52">
        <v>391.47172928478193</v>
      </c>
      <c r="E11" s="52">
        <f t="shared" si="0"/>
        <v>349.11857815607999</v>
      </c>
      <c r="F11" s="52">
        <v>1529.573629027328</v>
      </c>
      <c r="G11" s="52">
        <v>1991.64</v>
      </c>
      <c r="H11" s="52">
        <v>1811.11</v>
      </c>
      <c r="I11" s="53">
        <v>1281.5586680071999</v>
      </c>
      <c r="J11" s="5"/>
      <c r="K11" s="51">
        <v>324.97399999999999</v>
      </c>
      <c r="L11" s="52">
        <v>405.27217181363801</v>
      </c>
      <c r="M11" s="52">
        <f t="shared" si="1"/>
        <v>357.99177504616</v>
      </c>
      <c r="N11" s="52">
        <v>1525.4852889039428</v>
      </c>
      <c r="O11" s="52">
        <v>1991.64</v>
      </c>
      <c r="P11" s="52">
        <v>1125.3900000000001</v>
      </c>
      <c r="Q11" s="53">
        <v>864.83624732621001</v>
      </c>
      <c r="S11" s="19">
        <v>349.11857815607999</v>
      </c>
      <c r="T11" s="15">
        <v>357.99177504616</v>
      </c>
      <c r="U11" s="55">
        <v>0.21</v>
      </c>
      <c r="V11" s="59"/>
    </row>
    <row r="12" spans="1:22" x14ac:dyDescent="0.3">
      <c r="A12" s="17"/>
      <c r="B12" s="54">
        <v>35</v>
      </c>
      <c r="C12" s="51">
        <v>341.28500000000003</v>
      </c>
      <c r="D12" s="52">
        <v>378.41698866085846</v>
      </c>
      <c r="E12" s="52">
        <f t="shared" si="0"/>
        <v>335.83656324759994</v>
      </c>
      <c r="F12" s="52">
        <v>1304.3912003644323</v>
      </c>
      <c r="G12" s="52">
        <v>1657.19</v>
      </c>
      <c r="H12" s="52">
        <v>1516.61</v>
      </c>
      <c r="I12" s="53">
        <v>1086.0850128852001</v>
      </c>
      <c r="J12" s="5"/>
      <c r="K12" s="51">
        <v>332.16</v>
      </c>
      <c r="L12" s="52">
        <v>383.38759920097539</v>
      </c>
      <c r="M12" s="52">
        <f t="shared" si="1"/>
        <v>337.81978282095997</v>
      </c>
      <c r="N12" s="52">
        <v>1299.1772336641193</v>
      </c>
      <c r="O12" s="52">
        <v>1657.19</v>
      </c>
      <c r="P12" s="52">
        <v>1084.17</v>
      </c>
      <c r="Q12" s="53">
        <v>796.38551525702997</v>
      </c>
      <c r="S12" s="19">
        <v>335.83656324759994</v>
      </c>
      <c r="T12" s="15">
        <v>337.81978282095997</v>
      </c>
      <c r="U12" s="55">
        <v>0.21</v>
      </c>
      <c r="V12" s="59"/>
    </row>
    <row r="13" spans="1:22" x14ac:dyDescent="0.3">
      <c r="A13" s="17"/>
      <c r="B13" s="54">
        <v>40</v>
      </c>
      <c r="C13" s="51">
        <v>352.351</v>
      </c>
      <c r="D13" s="52">
        <v>369.58909814361436</v>
      </c>
      <c r="E13" s="52">
        <f t="shared" si="0"/>
        <v>326.67120275383996</v>
      </c>
      <c r="F13" s="52">
        <v>1257.167826066443</v>
      </c>
      <c r="G13" s="52">
        <v>1599.51</v>
      </c>
      <c r="H13" s="52">
        <v>1459.49</v>
      </c>
      <c r="I13" s="53">
        <v>1019.8587627463</v>
      </c>
      <c r="J13" s="5"/>
      <c r="K13" s="51">
        <v>342.33699999999999</v>
      </c>
      <c r="L13" s="52">
        <v>369.9846114435768</v>
      </c>
      <c r="M13" s="52">
        <f t="shared" si="1"/>
        <v>325.08116400559999</v>
      </c>
      <c r="N13" s="52">
        <v>1250.5747582506094</v>
      </c>
      <c r="O13" s="52">
        <v>1599.51</v>
      </c>
      <c r="P13" s="52">
        <v>1053.26</v>
      </c>
      <c r="Q13" s="53">
        <v>745.04683070705005</v>
      </c>
      <c r="S13" s="19">
        <v>326.67120275383996</v>
      </c>
      <c r="T13" s="15">
        <v>325.08116400559999</v>
      </c>
      <c r="U13" s="55">
        <v>0.21</v>
      </c>
      <c r="V13" s="59"/>
    </row>
    <row r="14" spans="1:22" x14ac:dyDescent="0.3">
      <c r="A14" s="17"/>
      <c r="B14" s="54">
        <v>45</v>
      </c>
      <c r="C14" s="51">
        <v>360.95600000000002</v>
      </c>
      <c r="D14" s="52">
        <v>362.72231545770148</v>
      </c>
      <c r="E14" s="52">
        <f t="shared" si="0"/>
        <v>319.54215009332</v>
      </c>
      <c r="F14" s="52">
        <v>1219.8588711141297</v>
      </c>
      <c r="G14" s="52">
        <v>1554.48</v>
      </c>
      <c r="H14" s="52">
        <v>1415.44</v>
      </c>
      <c r="I14" s="53">
        <v>966.84264830666007</v>
      </c>
      <c r="J14" s="5"/>
      <c r="K14" s="51">
        <v>351.43</v>
      </c>
      <c r="L14" s="52">
        <v>360.10662289931554</v>
      </c>
      <c r="M14" s="52">
        <f t="shared" si="1"/>
        <v>315.74375184752</v>
      </c>
      <c r="N14" s="52">
        <v>1212.2791088335321</v>
      </c>
      <c r="O14" s="52">
        <v>1554.48</v>
      </c>
      <c r="P14" s="52">
        <v>1029.21</v>
      </c>
      <c r="Q14" s="53">
        <v>705.11563585700003</v>
      </c>
      <c r="S14" s="19">
        <v>319.54215009332</v>
      </c>
      <c r="T14" s="15">
        <v>315.74375184752</v>
      </c>
      <c r="U14" s="55">
        <v>0.21</v>
      </c>
      <c r="V14" s="59"/>
    </row>
    <row r="15" spans="1:22" x14ac:dyDescent="0.3">
      <c r="A15" s="17"/>
      <c r="B15" s="54">
        <v>50</v>
      </c>
      <c r="C15" s="51">
        <v>369.48899999999998</v>
      </c>
      <c r="D15" s="52">
        <v>353.74446867473125</v>
      </c>
      <c r="E15" s="52">
        <f t="shared" si="0"/>
        <v>310.73049252971998</v>
      </c>
      <c r="F15" s="52">
        <v>1157.9093723651115</v>
      </c>
      <c r="G15" s="52">
        <v>1517.23</v>
      </c>
      <c r="H15" s="52">
        <v>1383.18</v>
      </c>
      <c r="I15" s="53">
        <v>912.23626061905998</v>
      </c>
      <c r="J15" s="5"/>
      <c r="K15" s="51">
        <v>360.702</v>
      </c>
      <c r="L15" s="52">
        <v>353.12779875623892</v>
      </c>
      <c r="M15" s="52">
        <f t="shared" si="1"/>
        <v>309.23037628499998</v>
      </c>
      <c r="N15" s="52">
        <v>1151.008494288061</v>
      </c>
      <c r="O15" s="52">
        <v>1517.23</v>
      </c>
      <c r="P15" s="52">
        <v>1202.69</v>
      </c>
      <c r="Q15" s="53">
        <v>789.92736573891</v>
      </c>
      <c r="S15" s="19">
        <v>310.73049252971998</v>
      </c>
      <c r="T15" s="15">
        <v>309.23037628499998</v>
      </c>
      <c r="U15" s="55">
        <v>0.21</v>
      </c>
      <c r="V15" s="59"/>
    </row>
    <row r="16" spans="1:22" x14ac:dyDescent="0.3">
      <c r="A16" s="17"/>
      <c r="B16" s="54">
        <v>55</v>
      </c>
      <c r="C16" s="51">
        <v>376.911</v>
      </c>
      <c r="D16" s="52">
        <v>345.47464984199019</v>
      </c>
      <c r="E16" s="52">
        <f t="shared" si="0"/>
        <v>302.69591892064</v>
      </c>
      <c r="F16" s="52">
        <v>1093.6908301843043</v>
      </c>
      <c r="G16" s="52">
        <v>1486.73</v>
      </c>
      <c r="H16" s="52">
        <v>1356.77</v>
      </c>
      <c r="I16" s="53">
        <v>867.55308499101011</v>
      </c>
      <c r="J16" s="5"/>
      <c r="K16" s="51">
        <v>372.59699999999998</v>
      </c>
      <c r="L16" s="52">
        <v>349.75828265730263</v>
      </c>
      <c r="M16" s="52">
        <f t="shared" si="1"/>
        <v>305.45746785403998</v>
      </c>
      <c r="N16" s="52">
        <v>1088.5392432922922</v>
      </c>
      <c r="O16" s="52">
        <v>1486.73</v>
      </c>
      <c r="P16" s="52">
        <v>1344.62</v>
      </c>
      <c r="Q16" s="53">
        <v>859.31471031314004</v>
      </c>
      <c r="S16" s="19">
        <v>302.69591892064</v>
      </c>
      <c r="T16" s="15">
        <v>305.45746785403998</v>
      </c>
      <c r="U16" s="55">
        <v>0.21</v>
      </c>
      <c r="V16" s="59"/>
    </row>
    <row r="17" spans="1:22" x14ac:dyDescent="0.3">
      <c r="A17" s="17"/>
      <c r="B17" s="54">
        <v>60</v>
      </c>
      <c r="C17" s="51">
        <v>385.37299999999999</v>
      </c>
      <c r="D17" s="52">
        <v>341.38998984771496</v>
      </c>
      <c r="E17" s="52">
        <f t="shared" si="0"/>
        <v>298.33200187896</v>
      </c>
      <c r="F17" s="52">
        <v>1061.9671441716619</v>
      </c>
      <c r="G17" s="52">
        <v>1504.81</v>
      </c>
      <c r="H17" s="52">
        <v>1345.09</v>
      </c>
      <c r="I17" s="53">
        <v>811.22235439043993</v>
      </c>
      <c r="J17" s="5"/>
      <c r="K17" s="51">
        <v>387.64699999999999</v>
      </c>
      <c r="L17" s="52">
        <v>349.73540405383312</v>
      </c>
      <c r="M17" s="52">
        <f t="shared" si="1"/>
        <v>304.16796843228002</v>
      </c>
      <c r="N17" s="52">
        <v>1057.9373586005554</v>
      </c>
      <c r="O17" s="52">
        <v>1504.81</v>
      </c>
      <c r="P17" s="52">
        <v>1345.09</v>
      </c>
      <c r="Q17" s="53">
        <v>811.22235439043993</v>
      </c>
      <c r="S17" s="19">
        <v>298.33200187896</v>
      </c>
      <c r="T17" s="15">
        <v>304.16796843228002</v>
      </c>
      <c r="U17" s="55">
        <v>0.21</v>
      </c>
      <c r="V17" s="59"/>
    </row>
    <row r="18" spans="1:22" x14ac:dyDescent="0.3">
      <c r="A18" s="17"/>
      <c r="B18" s="54">
        <v>65</v>
      </c>
      <c r="C18" s="51">
        <v>400.58699999999999</v>
      </c>
      <c r="D18" s="52">
        <v>348.23691134448791</v>
      </c>
      <c r="E18" s="52">
        <f t="shared" si="0"/>
        <v>303.12874885891995</v>
      </c>
      <c r="F18" s="52">
        <v>1110.8966080132168</v>
      </c>
      <c r="G18" s="52">
        <v>1585.25</v>
      </c>
      <c r="H18" s="52">
        <v>1443.02</v>
      </c>
      <c r="I18" s="53">
        <v>892.43098671161999</v>
      </c>
      <c r="J18" s="5"/>
      <c r="K18" s="51">
        <v>399.779</v>
      </c>
      <c r="L18" s="52">
        <v>353.49617541935766</v>
      </c>
      <c r="M18" s="52">
        <f t="shared" si="1"/>
        <v>306.21414495203999</v>
      </c>
      <c r="N18" s="52">
        <v>1105.4491470771243</v>
      </c>
      <c r="O18" s="52">
        <v>1585.26</v>
      </c>
      <c r="P18" s="52">
        <v>1443.02</v>
      </c>
      <c r="Q18" s="53">
        <v>892.43098671161999</v>
      </c>
      <c r="S18" s="19">
        <v>303.12874885891995</v>
      </c>
      <c r="T18" s="15">
        <v>306.21414495203999</v>
      </c>
      <c r="U18" s="55">
        <v>0.21</v>
      </c>
      <c r="V18" s="59"/>
    </row>
    <row r="19" spans="1:22" x14ac:dyDescent="0.3">
      <c r="A19" s="17"/>
      <c r="B19" s="54">
        <v>70</v>
      </c>
      <c r="C19" s="51">
        <v>410.98099999999999</v>
      </c>
      <c r="D19" s="52">
        <v>363.5870202790104</v>
      </c>
      <c r="E19" s="52">
        <f t="shared" si="0"/>
        <v>315.26984126387998</v>
      </c>
      <c r="F19" s="52">
        <v>1156.9197012547534</v>
      </c>
      <c r="G19" s="52">
        <v>1659.17</v>
      </c>
      <c r="H19" s="52">
        <v>1535.61</v>
      </c>
      <c r="I19" s="53">
        <v>972.57380313745011</v>
      </c>
      <c r="J19" s="5"/>
      <c r="K19" s="51">
        <v>408.649</v>
      </c>
      <c r="L19" s="52">
        <v>366.30700654522968</v>
      </c>
      <c r="M19" s="52">
        <f t="shared" si="1"/>
        <v>315.91981973707999</v>
      </c>
      <c r="N19" s="52">
        <v>1150.405280428573</v>
      </c>
      <c r="O19" s="52">
        <v>1659.17</v>
      </c>
      <c r="P19" s="52">
        <v>1535.61</v>
      </c>
      <c r="Q19" s="53">
        <v>972.57380313745011</v>
      </c>
      <c r="S19" s="19">
        <v>315.26984126387998</v>
      </c>
      <c r="T19" s="15">
        <v>315.91981973707999</v>
      </c>
      <c r="U19" s="55">
        <v>0.21</v>
      </c>
      <c r="V19" s="59"/>
    </row>
    <row r="20" spans="1:22" ht="15" thickBot="1" x14ac:dyDescent="0.35">
      <c r="A20" s="62"/>
      <c r="B20" s="63">
        <v>75</v>
      </c>
      <c r="C20" s="64">
        <v>408.94200000000001</v>
      </c>
      <c r="D20" s="65">
        <v>384.71605790810344</v>
      </c>
      <c r="E20" s="65">
        <f t="shared" si="0"/>
        <v>333.21851919780005</v>
      </c>
      <c r="F20" s="65">
        <v>1132.2791195640698</v>
      </c>
      <c r="G20" s="65">
        <v>1646.39</v>
      </c>
      <c r="H20" s="65">
        <v>1535.51</v>
      </c>
      <c r="I20" s="66">
        <v>982.93465876894004</v>
      </c>
      <c r="J20" s="22"/>
      <c r="K20" s="64">
        <v>408.94200000000001</v>
      </c>
      <c r="L20" s="65">
        <v>387.17548778186648</v>
      </c>
      <c r="M20" s="65">
        <f t="shared" si="1"/>
        <v>333.21851704512</v>
      </c>
      <c r="N20" s="65">
        <v>1125.8908722420347</v>
      </c>
      <c r="O20" s="65">
        <v>1646.39</v>
      </c>
      <c r="P20" s="65">
        <v>1535.51</v>
      </c>
      <c r="Q20" s="66">
        <v>982.93465876894004</v>
      </c>
      <c r="S20" s="20">
        <v>333.21851919780005</v>
      </c>
      <c r="T20" s="18">
        <v>333.21851704512</v>
      </c>
      <c r="U20" s="60">
        <v>0.21</v>
      </c>
      <c r="V20" s="61"/>
    </row>
    <row r="23" spans="1:22" ht="18.600000000000001" thickBot="1" x14ac:dyDescent="0.45">
      <c r="A23" s="24" t="s">
        <v>102</v>
      </c>
    </row>
    <row r="24" spans="1:22" ht="28.8" x14ac:dyDescent="0.3">
      <c r="A24" s="25" t="s">
        <v>3</v>
      </c>
      <c r="B24" s="26"/>
      <c r="C24" s="27" t="s">
        <v>5</v>
      </c>
      <c r="D24" s="27" t="s">
        <v>4</v>
      </c>
      <c r="E24" s="27" t="s">
        <v>0</v>
      </c>
      <c r="F24" s="27" t="s">
        <v>9</v>
      </c>
      <c r="G24" s="27" t="s">
        <v>10</v>
      </c>
      <c r="H24" s="28" t="s">
        <v>11</v>
      </c>
    </row>
    <row r="25" spans="1:22" ht="15" thickBot="1" x14ac:dyDescent="0.35">
      <c r="A25" s="29">
        <v>2010</v>
      </c>
      <c r="B25" s="67" t="s">
        <v>55</v>
      </c>
      <c r="C25" s="30">
        <v>82.365942519802928</v>
      </c>
      <c r="D25" s="68">
        <v>107.90303380374331</v>
      </c>
      <c r="E25" s="68">
        <v>97.482852016892807</v>
      </c>
      <c r="F25" s="30">
        <v>126.91854321282926</v>
      </c>
      <c r="G25" s="30">
        <v>97.899555762177798</v>
      </c>
      <c r="H25" s="31">
        <v>117.45929499966343</v>
      </c>
    </row>
    <row r="29" spans="1:22" ht="34.5" customHeight="1" x14ac:dyDescent="0.3">
      <c r="A29" s="242" t="s">
        <v>24</v>
      </c>
      <c r="B29" s="239" t="s">
        <v>90</v>
      </c>
      <c r="C29" s="240"/>
      <c r="D29" s="241"/>
      <c r="E29" s="244" t="s">
        <v>60</v>
      </c>
      <c r="F29" s="245"/>
      <c r="G29" s="245"/>
      <c r="H29" s="246"/>
      <c r="K29" s="247" t="s">
        <v>114</v>
      </c>
      <c r="L29" s="248"/>
    </row>
    <row r="30" spans="1:22" ht="58.5" customHeight="1" x14ac:dyDescent="0.3">
      <c r="A30" s="243"/>
      <c r="B30" s="97" t="s">
        <v>56</v>
      </c>
      <c r="C30" s="98" t="s">
        <v>57</v>
      </c>
      <c r="D30" s="99" t="s">
        <v>58</v>
      </c>
      <c r="E30" s="97" t="s">
        <v>56</v>
      </c>
      <c r="F30" s="98" t="s">
        <v>57</v>
      </c>
      <c r="G30" s="98" t="s">
        <v>58</v>
      </c>
      <c r="H30" s="7" t="s">
        <v>61</v>
      </c>
      <c r="K30" s="215" t="s">
        <v>115</v>
      </c>
      <c r="L30" s="216" t="s">
        <v>116</v>
      </c>
    </row>
    <row r="31" spans="1:22" x14ac:dyDescent="0.3">
      <c r="A31" s="78">
        <v>2007</v>
      </c>
      <c r="B31" s="69">
        <v>20.402386</v>
      </c>
      <c r="C31" s="70">
        <v>14.131273</v>
      </c>
      <c r="D31" s="71">
        <v>6.0216839999999996</v>
      </c>
      <c r="E31" s="76">
        <f>(1-K31)*B$34/B31</f>
        <v>1.0172059913254532</v>
      </c>
      <c r="F31" s="76">
        <f>(1-K31)*C$34/C31</f>
        <v>1.0105955790868368</v>
      </c>
      <c r="G31" s="76">
        <f>D$34/D31</f>
        <v>1.005851851409008</v>
      </c>
      <c r="H31" s="8"/>
      <c r="K31" s="217">
        <f>K32</f>
        <v>1.3831763999348268E-2</v>
      </c>
      <c r="L31" s="148"/>
    </row>
    <row r="32" spans="1:22" x14ac:dyDescent="0.3">
      <c r="A32" s="78">
        <v>2008</v>
      </c>
      <c r="B32" s="69">
        <v>20.911508999999999</v>
      </c>
      <c r="C32" s="70">
        <v>14.259221999999999</v>
      </c>
      <c r="D32" s="71">
        <v>6.0306730000000002</v>
      </c>
      <c r="E32" s="76">
        <f>(1-K32)*B$34/B32</f>
        <v>0.99244053963463608</v>
      </c>
      <c r="F32" s="76">
        <f>(1-K32)*C$34/C32</f>
        <v>1.0015274340121207</v>
      </c>
      <c r="G32" s="76">
        <f>D$34/D32</f>
        <v>1.0043525822076573</v>
      </c>
      <c r="H32" s="9"/>
      <c r="K32" s="217">
        <f>K33</f>
        <v>1.3831763999348268E-2</v>
      </c>
      <c r="L32" s="148"/>
    </row>
    <row r="33" spans="1:12" ht="15" thickBot="1" x14ac:dyDescent="0.35">
      <c r="A33" s="78">
        <v>2009</v>
      </c>
      <c r="B33" s="69">
        <v>20.955884999999999</v>
      </c>
      <c r="C33" s="70">
        <v>14.381278999999999</v>
      </c>
      <c r="D33" s="71">
        <v>6.0404220000000004</v>
      </c>
      <c r="E33" s="76">
        <f>(1-K33)*B$34/B33</f>
        <v>0.99033895617076295</v>
      </c>
      <c r="F33" s="76">
        <f>(1-K33)*C$34/C33</f>
        <v>0.99302725582816254</v>
      </c>
      <c r="G33" s="76">
        <f>D$34/D33</f>
        <v>1.002731597229465</v>
      </c>
      <c r="H33" s="9"/>
      <c r="K33" s="217">
        <f>K34</f>
        <v>1.3831763999348268E-2</v>
      </c>
      <c r="L33" s="148"/>
    </row>
    <row r="34" spans="1:12" ht="15" thickBot="1" x14ac:dyDescent="0.35">
      <c r="A34" s="80">
        <v>2010</v>
      </c>
      <c r="B34" s="81">
        <v>21.044512000000001</v>
      </c>
      <c r="C34" s="82">
        <v>14.481304</v>
      </c>
      <c r="D34" s="83">
        <v>6.0569220000000001</v>
      </c>
      <c r="E34" s="84">
        <f>(1-K34)*B$34/B34</f>
        <v>0.98616823600065162</v>
      </c>
      <c r="F34" s="84">
        <f>(1-K34)*C$34/C34</f>
        <v>0.98616823600065173</v>
      </c>
      <c r="G34" s="84">
        <f>(1-L34)*D$34/D34</f>
        <v>0.99243446030834126</v>
      </c>
      <c r="H34" s="100"/>
      <c r="K34" s="218">
        <v>1.3831763999348268E-2</v>
      </c>
      <c r="L34" s="219">
        <v>7.5655396916588513E-3</v>
      </c>
    </row>
    <row r="35" spans="1:12" x14ac:dyDescent="0.3">
      <c r="A35" s="78">
        <v>2011</v>
      </c>
      <c r="B35" s="69">
        <v>21.167303</v>
      </c>
      <c r="C35" s="70">
        <v>14.5837</v>
      </c>
      <c r="D35" s="71">
        <v>6.0807039999999999</v>
      </c>
      <c r="E35" s="76">
        <f t="shared" ref="E35:E59" si="2">(1-K35)*B$34/B35</f>
        <v>0.97866174078694412</v>
      </c>
      <c r="F35" s="76">
        <f t="shared" ref="F35:G59" si="3">(1-K35)*C$34/C35</f>
        <v>0.97746052312639597</v>
      </c>
      <c r="G35" s="76">
        <f t="shared" si="3"/>
        <v>0.98712351321997682</v>
      </c>
      <c r="H35" s="9"/>
      <c r="K35" s="218">
        <v>1.562794130152767E-2</v>
      </c>
      <c r="L35" s="219">
        <v>9.0006284824594163E-3</v>
      </c>
    </row>
    <row r="36" spans="1:12" x14ac:dyDescent="0.3">
      <c r="A36" s="78">
        <v>2012</v>
      </c>
      <c r="B36" s="69">
        <v>21.394017999999999</v>
      </c>
      <c r="C36" s="70">
        <v>14.704959000000001</v>
      </c>
      <c r="D36" s="71">
        <v>6.1167360000000004</v>
      </c>
      <c r="E36" s="76">
        <f t="shared" si="2"/>
        <v>0.96769648394033014</v>
      </c>
      <c r="F36" s="76">
        <f t="shared" si="3"/>
        <v>0.9688053160450214</v>
      </c>
      <c r="G36" s="76">
        <f t="shared" si="3"/>
        <v>0.97945090866485629</v>
      </c>
      <c r="H36" s="9"/>
      <c r="K36" s="218">
        <v>1.6232070577063884E-2</v>
      </c>
      <c r="L36" s="219">
        <v>1.0876707135565211E-2</v>
      </c>
    </row>
    <row r="37" spans="1:12" x14ac:dyDescent="0.3">
      <c r="A37" s="78">
        <v>2013</v>
      </c>
      <c r="B37" s="69">
        <v>21.65588</v>
      </c>
      <c r="C37" s="70">
        <v>14.836493000000001</v>
      </c>
      <c r="D37" s="71">
        <v>6.1695929999999999</v>
      </c>
      <c r="E37" s="76">
        <f t="shared" si="2"/>
        <v>0.95385955601019545</v>
      </c>
      <c r="F37" s="76">
        <f t="shared" si="3"/>
        <v>0.95807129066304286</v>
      </c>
      <c r="G37" s="76">
        <f t="shared" si="3"/>
        <v>0.97132473686000309</v>
      </c>
      <c r="H37" s="9"/>
      <c r="K37" s="218">
        <v>1.8429694078433756E-2</v>
      </c>
      <c r="L37" s="219">
        <v>1.0606658421832615E-2</v>
      </c>
    </row>
    <row r="38" spans="1:12" x14ac:dyDescent="0.3">
      <c r="A38" s="78">
        <v>2014</v>
      </c>
      <c r="B38" s="69">
        <v>21.944834</v>
      </c>
      <c r="C38" s="70">
        <v>14.979564999999999</v>
      </c>
      <c r="D38" s="71">
        <v>6.2365729999999999</v>
      </c>
      <c r="E38" s="76">
        <f t="shared" si="2"/>
        <v>0.93793778619812773</v>
      </c>
      <c r="F38" s="76">
        <f t="shared" si="3"/>
        <v>0.94553136946256888</v>
      </c>
      <c r="G38" s="76">
        <f t="shared" si="3"/>
        <v>0.96105301011217992</v>
      </c>
      <c r="H38" s="9"/>
      <c r="K38" s="218">
        <v>2.193555163239691E-2</v>
      </c>
      <c r="L38" s="219">
        <v>1.044173023288919E-2</v>
      </c>
    </row>
    <row r="39" spans="1:12" x14ac:dyDescent="0.3">
      <c r="A39" s="78">
        <v>2015</v>
      </c>
      <c r="B39" s="69">
        <v>22.271564000000001</v>
      </c>
      <c r="C39" s="70">
        <v>15.143928000000001</v>
      </c>
      <c r="D39" s="71">
        <v>6.3023410000000002</v>
      </c>
      <c r="E39" s="76">
        <f t="shared" si="2"/>
        <v>0.91885303268713392</v>
      </c>
      <c r="F39" s="76">
        <f t="shared" si="3"/>
        <v>0.92988029381779103</v>
      </c>
      <c r="G39" s="76">
        <f t="shared" si="3"/>
        <v>0.95112596213925393</v>
      </c>
      <c r="H39" s="9"/>
      <c r="K39" s="218">
        <v>2.7570982682535106E-2</v>
      </c>
      <c r="L39" s="219">
        <v>1.0335588380588678E-2</v>
      </c>
    </row>
    <row r="40" spans="1:12" x14ac:dyDescent="0.3">
      <c r="A40" s="78">
        <v>2016</v>
      </c>
      <c r="B40" s="69">
        <v>22.631067000000002</v>
      </c>
      <c r="C40" s="70">
        <v>15.325953</v>
      </c>
      <c r="D40" s="71">
        <v>6.3687110000000002</v>
      </c>
      <c r="E40" s="76">
        <f t="shared" si="2"/>
        <v>0.89938853730784729</v>
      </c>
      <c r="F40" s="76">
        <f t="shared" si="3"/>
        <v>0.91388952698103587</v>
      </c>
      <c r="G40" s="76">
        <f t="shared" si="3"/>
        <v>0.94132206217331982</v>
      </c>
      <c r="H40" s="9"/>
      <c r="K40" s="218">
        <v>3.280616595690633E-2</v>
      </c>
      <c r="L40" s="219">
        <v>1.0221995279796281E-2</v>
      </c>
    </row>
    <row r="41" spans="1:12" x14ac:dyDescent="0.3">
      <c r="A41" s="78">
        <v>2017</v>
      </c>
      <c r="B41" s="69">
        <v>23.036014999999999</v>
      </c>
      <c r="C41" s="70">
        <v>15.540327</v>
      </c>
      <c r="D41" s="71">
        <v>6.4388050000000003</v>
      </c>
      <c r="E41" s="76">
        <f t="shared" si="2"/>
        <v>0.87900558955496477</v>
      </c>
      <c r="F41" s="76">
        <f t="shared" si="3"/>
        <v>0.89661840124520908</v>
      </c>
      <c r="G41" s="76">
        <f t="shared" si="3"/>
        <v>0.93117666768456742</v>
      </c>
      <c r="H41" s="9"/>
      <c r="K41" s="218">
        <v>3.7811570728177868E-2</v>
      </c>
      <c r="L41" s="219">
        <v>1.0113555404753227E-2</v>
      </c>
    </row>
    <row r="42" spans="1:12" x14ac:dyDescent="0.3">
      <c r="A42" s="78">
        <v>2018</v>
      </c>
      <c r="B42" s="69">
        <v>23.459602</v>
      </c>
      <c r="C42" s="70">
        <v>15.771459999999999</v>
      </c>
      <c r="D42" s="71">
        <v>6.5050439999999998</v>
      </c>
      <c r="E42" s="76">
        <f t="shared" si="2"/>
        <v>0.85774730883971295</v>
      </c>
      <c r="F42" s="76">
        <f t="shared" si="3"/>
        <v>0.87796442041421685</v>
      </c>
      <c r="G42" s="76">
        <f t="shared" si="3"/>
        <v>0.92181891783730396</v>
      </c>
      <c r="H42" s="9"/>
      <c r="K42" s="218">
        <v>4.3816721340426024E-2</v>
      </c>
      <c r="L42" s="219">
        <v>9.9802142797865701E-3</v>
      </c>
    </row>
    <row r="43" spans="1:12" x14ac:dyDescent="0.3">
      <c r="A43" s="78">
        <v>2019</v>
      </c>
      <c r="B43" s="69">
        <v>23.877925999999999</v>
      </c>
      <c r="C43" s="70">
        <v>16.005381</v>
      </c>
      <c r="D43" s="71">
        <v>6.5665500000000003</v>
      </c>
      <c r="E43" s="76">
        <f t="shared" si="2"/>
        <v>0.83762173392542583</v>
      </c>
      <c r="F43" s="76">
        <f t="shared" si="3"/>
        <v>0.85989878229290695</v>
      </c>
      <c r="G43" s="76">
        <f t="shared" si="3"/>
        <v>0.91331940749449603</v>
      </c>
      <c r="H43" s="9"/>
      <c r="K43" s="218">
        <v>4.9601635872430494E-2</v>
      </c>
      <c r="L43" s="219">
        <v>9.8341112395069485E-3</v>
      </c>
    </row>
    <row r="44" spans="1:12" x14ac:dyDescent="0.3">
      <c r="A44" s="78">
        <v>2020</v>
      </c>
      <c r="B44" s="69">
        <v>24.300809999999998</v>
      </c>
      <c r="C44" s="70">
        <v>16.238657</v>
      </c>
      <c r="D44" s="71">
        <v>6.6230589999999996</v>
      </c>
      <c r="E44" s="76">
        <f t="shared" si="2"/>
        <v>0.81777863486967395</v>
      </c>
      <c r="F44" s="76">
        <f t="shared" si="3"/>
        <v>0.84212238658526428</v>
      </c>
      <c r="G44" s="76">
        <f t="shared" si="3"/>
        <v>0.90564161128133147</v>
      </c>
      <c r="H44" s="9"/>
      <c r="K44" s="218">
        <v>5.5683342620284182E-2</v>
      </c>
      <c r="L44" s="219">
        <v>9.7085905396629979E-3</v>
      </c>
    </row>
    <row r="45" spans="1:12" x14ac:dyDescent="0.3">
      <c r="A45" s="78">
        <v>2021</v>
      </c>
      <c r="B45" s="69">
        <v>24.709012999999999</v>
      </c>
      <c r="C45" s="70">
        <v>16.462202000000001</v>
      </c>
      <c r="D45" s="71">
        <v>6.6740760000000003</v>
      </c>
      <c r="E45" s="76">
        <f t="shared" si="2"/>
        <v>0.79647699674314798</v>
      </c>
      <c r="F45" s="76">
        <f t="shared" si="3"/>
        <v>0.82263942653259137</v>
      </c>
      <c r="G45" s="76">
        <f t="shared" si="3"/>
        <v>0.89880204613557912</v>
      </c>
      <c r="H45" s="9"/>
      <c r="K45" s="218">
        <v>6.4831702121322721E-2</v>
      </c>
      <c r="L45" s="219">
        <v>9.6169036245866701E-3</v>
      </c>
    </row>
    <row r="46" spans="1:12" x14ac:dyDescent="0.3">
      <c r="A46" s="78">
        <v>2022</v>
      </c>
      <c r="B46" s="69">
        <v>25.108457999999999</v>
      </c>
      <c r="C46" s="70">
        <v>16.675305999999999</v>
      </c>
      <c r="D46" s="71">
        <v>6.7194149999999997</v>
      </c>
      <c r="E46" s="76">
        <f t="shared" si="2"/>
        <v>0.77565613119571586</v>
      </c>
      <c r="F46" s="76">
        <f t="shared" si="3"/>
        <v>0.80368205396808567</v>
      </c>
      <c r="G46" s="76">
        <f t="shared" si="3"/>
        <v>0.89280584975033983</v>
      </c>
      <c r="H46" s="9"/>
      <c r="K46" s="218">
        <v>7.4555428390541079E-2</v>
      </c>
      <c r="L46" s="219">
        <v>9.5409815579299284E-3</v>
      </c>
    </row>
    <row r="47" spans="1:12" x14ac:dyDescent="0.3">
      <c r="A47" s="78">
        <v>2023</v>
      </c>
      <c r="B47" s="69">
        <v>25.496397000000002</v>
      </c>
      <c r="C47" s="70">
        <v>16.876318000000001</v>
      </c>
      <c r="D47" s="71">
        <v>6.7597889999999996</v>
      </c>
      <c r="E47" s="76">
        <f t="shared" si="2"/>
        <v>0.76385417879122763</v>
      </c>
      <c r="F47" s="76">
        <f t="shared" si="3"/>
        <v>0.79410948387120595</v>
      </c>
      <c r="G47" s="76">
        <f t="shared" si="3"/>
        <v>0.88747341357846821</v>
      </c>
      <c r="H47" s="9"/>
      <c r="K47" s="217">
        <f>K46</f>
        <v>7.4555428390541079E-2</v>
      </c>
      <c r="L47" s="220">
        <f>L46</f>
        <v>9.5409815579299284E-3</v>
      </c>
    </row>
    <row r="48" spans="1:12" x14ac:dyDescent="0.3">
      <c r="A48" s="78">
        <v>2024</v>
      </c>
      <c r="B48" s="69">
        <v>25.875525</v>
      </c>
      <c r="C48" s="70">
        <v>17.06673</v>
      </c>
      <c r="D48" s="71">
        <v>6.7951379999999997</v>
      </c>
      <c r="E48" s="76">
        <f t="shared" si="2"/>
        <v>0.7526621930403391</v>
      </c>
      <c r="F48" s="76">
        <f t="shared" si="3"/>
        <v>0.78524967446173599</v>
      </c>
      <c r="G48" s="76">
        <f t="shared" si="3"/>
        <v>0.88285668648674687</v>
      </c>
      <c r="H48" s="9"/>
      <c r="K48" s="217">
        <f t="shared" ref="K48:L59" si="4">K47</f>
        <v>7.4555428390541079E-2</v>
      </c>
      <c r="L48" s="220">
        <f t="shared" si="4"/>
        <v>9.5409815579299284E-3</v>
      </c>
    </row>
    <row r="49" spans="1:12" x14ac:dyDescent="0.3">
      <c r="A49" s="78">
        <v>2025</v>
      </c>
      <c r="B49" s="69">
        <v>26.249313000000001</v>
      </c>
      <c r="C49" s="70">
        <v>17.244474</v>
      </c>
      <c r="D49" s="71">
        <v>6.8274460000000001</v>
      </c>
      <c r="E49" s="76">
        <f t="shared" si="2"/>
        <v>0.74194434698424749</v>
      </c>
      <c r="F49" s="76">
        <f t="shared" si="3"/>
        <v>0.77715586898309241</v>
      </c>
      <c r="G49" s="76">
        <f t="shared" si="3"/>
        <v>0.87867894069029318</v>
      </c>
      <c r="H49" s="9"/>
      <c r="K49" s="217">
        <f t="shared" si="4"/>
        <v>7.4555428390541079E-2</v>
      </c>
      <c r="L49" s="220">
        <f t="shared" si="4"/>
        <v>9.5409815579299284E-3</v>
      </c>
    </row>
    <row r="50" spans="1:12" x14ac:dyDescent="0.3">
      <c r="A50" s="78">
        <v>2026</v>
      </c>
      <c r="B50" s="69">
        <v>26.613168999999999</v>
      </c>
      <c r="C50" s="70">
        <v>17.409203999999999</v>
      </c>
      <c r="D50" s="71">
        <v>6.8564870000000004</v>
      </c>
      <c r="E50" s="76">
        <f t="shared" si="2"/>
        <v>0.73180046286746692</v>
      </c>
      <c r="F50" s="76">
        <f t="shared" si="3"/>
        <v>0.76980223660003888</v>
      </c>
      <c r="G50" s="76">
        <f t="shared" si="3"/>
        <v>0.87495725127170509</v>
      </c>
      <c r="H50" s="9"/>
      <c r="K50" s="217">
        <f t="shared" si="4"/>
        <v>7.4555428390541079E-2</v>
      </c>
      <c r="L50" s="220">
        <f t="shared" si="4"/>
        <v>9.5409815579299284E-3</v>
      </c>
    </row>
    <row r="51" spans="1:12" x14ac:dyDescent="0.3">
      <c r="A51" s="78">
        <v>2027</v>
      </c>
      <c r="B51" s="69">
        <v>26.967005</v>
      </c>
      <c r="C51" s="70">
        <v>17.562294000000001</v>
      </c>
      <c r="D51" s="71">
        <v>6.8829459999999996</v>
      </c>
      <c r="E51" s="76">
        <f t="shared" si="2"/>
        <v>0.72219845669068994</v>
      </c>
      <c r="F51" s="76">
        <f t="shared" si="3"/>
        <v>0.76309189315623238</v>
      </c>
      <c r="G51" s="76">
        <f t="shared" si="3"/>
        <v>0.87159379412539051</v>
      </c>
      <c r="H51" s="9"/>
      <c r="K51" s="217">
        <f t="shared" si="4"/>
        <v>7.4555428390541079E-2</v>
      </c>
      <c r="L51" s="220">
        <f t="shared" si="4"/>
        <v>9.5409815579299284E-3</v>
      </c>
    </row>
    <row r="52" spans="1:12" x14ac:dyDescent="0.3">
      <c r="A52" s="78">
        <v>2028</v>
      </c>
      <c r="B52" s="69">
        <v>27.311125000000001</v>
      </c>
      <c r="C52" s="70">
        <v>17.706249</v>
      </c>
      <c r="D52" s="71">
        <v>6.9073200000000003</v>
      </c>
      <c r="E52" s="76">
        <f t="shared" si="2"/>
        <v>0.71309876076397882</v>
      </c>
      <c r="F52" s="76">
        <f t="shared" si="3"/>
        <v>0.75688781834178109</v>
      </c>
      <c r="G52" s="76">
        <f t="shared" si="3"/>
        <v>0.86851818344888887</v>
      </c>
      <c r="H52" s="9"/>
      <c r="K52" s="217">
        <f t="shared" si="4"/>
        <v>7.4555428390541079E-2</v>
      </c>
      <c r="L52" s="220">
        <f t="shared" si="4"/>
        <v>9.5409815579299284E-3</v>
      </c>
    </row>
    <row r="53" spans="1:12" x14ac:dyDescent="0.3">
      <c r="A53" s="78">
        <v>2029</v>
      </c>
      <c r="B53" s="69">
        <v>27.645458000000001</v>
      </c>
      <c r="C53" s="70">
        <v>17.842911000000001</v>
      </c>
      <c r="D53" s="71">
        <v>6.9295840000000002</v>
      </c>
      <c r="E53" s="76">
        <f t="shared" si="2"/>
        <v>0.70447483245060072</v>
      </c>
      <c r="F53" s="76">
        <f t="shared" si="3"/>
        <v>0.75109068114649802</v>
      </c>
      <c r="G53" s="76">
        <f t="shared" si="3"/>
        <v>0.86572772895172057</v>
      </c>
      <c r="H53" s="9"/>
      <c r="K53" s="217">
        <f t="shared" si="4"/>
        <v>7.4555428390541079E-2</v>
      </c>
      <c r="L53" s="220">
        <f t="shared" si="4"/>
        <v>9.5409815579299284E-3</v>
      </c>
    </row>
    <row r="54" spans="1:12" x14ac:dyDescent="0.3">
      <c r="A54" s="78">
        <v>2030</v>
      </c>
      <c r="B54" s="69">
        <v>27.968948000000001</v>
      </c>
      <c r="C54" s="70">
        <v>17.971878</v>
      </c>
      <c r="D54" s="71">
        <v>6.9492960000000004</v>
      </c>
      <c r="E54" s="76">
        <f t="shared" si="2"/>
        <v>0.69632684763724828</v>
      </c>
      <c r="F54" s="76">
        <f t="shared" si="3"/>
        <v>0.74570082083944389</v>
      </c>
      <c r="G54" s="76">
        <f t="shared" si="3"/>
        <v>0.86327205214746638</v>
      </c>
      <c r="H54" s="9"/>
      <c r="K54" s="217">
        <f t="shared" si="4"/>
        <v>7.4555428390541079E-2</v>
      </c>
      <c r="L54" s="220">
        <f t="shared" si="4"/>
        <v>9.5409815579299284E-3</v>
      </c>
    </row>
    <row r="55" spans="1:12" x14ac:dyDescent="0.3">
      <c r="A55" s="78">
        <v>2031</v>
      </c>
      <c r="B55" s="69">
        <v>28.261907999999998</v>
      </c>
      <c r="C55" s="70">
        <v>18.093481000000001</v>
      </c>
      <c r="D55" s="71">
        <v>6.9676660000000004</v>
      </c>
      <c r="E55" s="76">
        <f t="shared" si="2"/>
        <v>0.68910879593020125</v>
      </c>
      <c r="F55" s="76">
        <f t="shared" si="3"/>
        <v>0.74068910104287522</v>
      </c>
      <c r="G55" s="76">
        <f t="shared" si="3"/>
        <v>0.86099606653076932</v>
      </c>
      <c r="H55" s="9"/>
      <c r="K55" s="217">
        <f t="shared" si="4"/>
        <v>7.4555428390541079E-2</v>
      </c>
      <c r="L55" s="220">
        <f t="shared" si="4"/>
        <v>9.5409815579299284E-3</v>
      </c>
    </row>
    <row r="56" spans="1:12" x14ac:dyDescent="0.3">
      <c r="A56" s="78">
        <v>2032</v>
      </c>
      <c r="B56" s="69">
        <v>28.544756</v>
      </c>
      <c r="C56" s="70">
        <v>18.209066</v>
      </c>
      <c r="D56" s="71">
        <v>6.985271</v>
      </c>
      <c r="E56" s="76">
        <f t="shared" si="2"/>
        <v>0.68228046484510574</v>
      </c>
      <c r="F56" s="76">
        <f t="shared" si="3"/>
        <v>0.73598745683201672</v>
      </c>
      <c r="G56" s="76">
        <f t="shared" si="3"/>
        <v>0.85882609549438804</v>
      </c>
      <c r="H56" s="9"/>
      <c r="K56" s="217">
        <f t="shared" si="4"/>
        <v>7.4555428390541079E-2</v>
      </c>
      <c r="L56" s="220">
        <f t="shared" si="4"/>
        <v>9.5409815579299284E-3</v>
      </c>
    </row>
    <row r="57" spans="1:12" x14ac:dyDescent="0.3">
      <c r="A57" s="78">
        <v>2033</v>
      </c>
      <c r="B57" s="69">
        <v>28.816476999999999</v>
      </c>
      <c r="C57" s="70">
        <v>18.318363000000002</v>
      </c>
      <c r="D57" s="71">
        <v>7.0024499999999996</v>
      </c>
      <c r="E57" s="76">
        <f t="shared" si="2"/>
        <v>0.67584699519549596</v>
      </c>
      <c r="F57" s="76">
        <f t="shared" si="3"/>
        <v>0.73159616809789951</v>
      </c>
      <c r="G57" s="76">
        <f t="shared" si="3"/>
        <v>0.85671915099717666</v>
      </c>
      <c r="H57" s="9"/>
      <c r="K57" s="217">
        <f t="shared" si="4"/>
        <v>7.4555428390541079E-2</v>
      </c>
      <c r="L57" s="220">
        <f t="shared" si="4"/>
        <v>9.5409815579299284E-3</v>
      </c>
    </row>
    <row r="58" spans="1:12" x14ac:dyDescent="0.3">
      <c r="A58" s="78">
        <v>2034</v>
      </c>
      <c r="B58" s="69">
        <v>29.080628999999998</v>
      </c>
      <c r="C58" s="70">
        <v>18.422283</v>
      </c>
      <c r="D58" s="71">
        <v>7.0177690000000004</v>
      </c>
      <c r="E58" s="76">
        <f t="shared" si="2"/>
        <v>0.66970798302093537</v>
      </c>
      <c r="F58" s="76">
        <f t="shared" si="3"/>
        <v>0.7274692380214951</v>
      </c>
      <c r="G58" s="76">
        <f t="shared" si="3"/>
        <v>0.85484902949928665</v>
      </c>
      <c r="H58" s="9"/>
      <c r="K58" s="217">
        <f t="shared" si="4"/>
        <v>7.4555428390541079E-2</v>
      </c>
      <c r="L58" s="220">
        <f t="shared" si="4"/>
        <v>9.5409815579299284E-3</v>
      </c>
    </row>
    <row r="59" spans="1:12" x14ac:dyDescent="0.3">
      <c r="A59" s="79">
        <v>2035</v>
      </c>
      <c r="B59" s="72">
        <v>29.346354000000002</v>
      </c>
      <c r="C59" s="73">
        <v>18.523810999999998</v>
      </c>
      <c r="D59" s="74">
        <v>7.0311260000000004</v>
      </c>
      <c r="E59" s="77">
        <f t="shared" si="2"/>
        <v>0.66364391953324486</v>
      </c>
      <c r="F59" s="77">
        <f t="shared" si="3"/>
        <v>0.72348201871776519</v>
      </c>
      <c r="G59" s="77">
        <f t="shared" si="3"/>
        <v>0.85322507645292933</v>
      </c>
      <c r="H59" s="10"/>
      <c r="K59" s="221">
        <f t="shared" si="4"/>
        <v>7.4555428390541079E-2</v>
      </c>
      <c r="L59" s="222">
        <f t="shared" si="4"/>
        <v>9.5409815579299284E-3</v>
      </c>
    </row>
    <row r="60" spans="1:12" x14ac:dyDescent="0.3">
      <c r="A60" s="32" t="s">
        <v>59</v>
      </c>
      <c r="B60"/>
    </row>
  </sheetData>
  <mergeCells count="6">
    <mergeCell ref="U3:V3"/>
    <mergeCell ref="S3:T3"/>
    <mergeCell ref="B29:D29"/>
    <mergeCell ref="A29:A30"/>
    <mergeCell ref="E29:H29"/>
    <mergeCell ref="K29:L29"/>
  </mergeCells>
  <pageMargins left="0.7" right="0.7" top="0.75" bottom="0.75" header="0.3" footer="0.3"/>
  <pageSetup scale="5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63"/>
  <sheetViews>
    <sheetView zoomScale="70" zoomScaleNormal="70" workbookViewId="0">
      <selection activeCell="K42" sqref="K42"/>
    </sheetView>
  </sheetViews>
  <sheetFormatPr defaultRowHeight="14.4" x14ac:dyDescent="0.3"/>
  <cols>
    <col min="1" max="1" width="43.44140625" customWidth="1"/>
    <col min="3" max="3" width="7" customWidth="1"/>
    <col min="4" max="4" width="9" customWidth="1"/>
    <col min="6" max="6" width="7.44140625" customWidth="1"/>
    <col min="9" max="9" width="12.109375" style="11" customWidth="1"/>
    <col min="10" max="10" width="9.88671875" style="11" customWidth="1"/>
    <col min="14" max="14" width="7.88671875" customWidth="1"/>
    <col min="15" max="15" width="5.88671875" customWidth="1"/>
    <col min="17" max="17" width="10.109375" customWidth="1"/>
    <col min="20" max="21" width="8.33203125" customWidth="1"/>
  </cols>
  <sheetData>
    <row r="1" spans="1:24" ht="40.799999999999997" thickBot="1" x14ac:dyDescent="0.35">
      <c r="A1" s="33" t="s">
        <v>25</v>
      </c>
      <c r="B1" s="34" t="s">
        <v>35</v>
      </c>
      <c r="C1" s="34" t="s">
        <v>36</v>
      </c>
      <c r="D1" s="34" t="s">
        <v>37</v>
      </c>
      <c r="E1" s="34" t="s">
        <v>38</v>
      </c>
      <c r="F1" s="34" t="s">
        <v>39</v>
      </c>
      <c r="G1" s="34" t="s">
        <v>40</v>
      </c>
      <c r="H1" s="131" t="s">
        <v>62</v>
      </c>
      <c r="I1" s="152" t="s">
        <v>93</v>
      </c>
      <c r="J1" s="145" t="s">
        <v>27</v>
      </c>
      <c r="K1" s="1" t="s">
        <v>89</v>
      </c>
      <c r="N1" s="101"/>
      <c r="O1" s="102"/>
      <c r="P1" s="103" t="s">
        <v>84</v>
      </c>
      <c r="Q1" s="103" t="s">
        <v>83</v>
      </c>
      <c r="R1" s="103" t="s">
        <v>82</v>
      </c>
      <c r="S1" s="103" t="s">
        <v>81</v>
      </c>
      <c r="T1" s="103" t="s">
        <v>80</v>
      </c>
      <c r="U1" s="103" t="s">
        <v>79</v>
      </c>
      <c r="V1" s="102"/>
      <c r="W1" s="102"/>
      <c r="X1" s="104"/>
    </row>
    <row r="2" spans="1:24" x14ac:dyDescent="0.3">
      <c r="A2" s="35" t="s">
        <v>16</v>
      </c>
      <c r="B2" s="36">
        <v>1523</v>
      </c>
      <c r="C2" s="37">
        <v>1581</v>
      </c>
      <c r="D2" s="37">
        <v>1723</v>
      </c>
      <c r="E2" s="37">
        <v>1861</v>
      </c>
      <c r="F2" s="37">
        <v>1934</v>
      </c>
      <c r="G2" s="38">
        <v>1981</v>
      </c>
      <c r="H2" s="132">
        <v>2068</v>
      </c>
      <c r="I2" s="140">
        <v>34</v>
      </c>
      <c r="J2" s="141">
        <v>31</v>
      </c>
      <c r="K2" s="12">
        <f>0.55*I2+0.45*J2</f>
        <v>32.650000000000006</v>
      </c>
      <c r="N2" s="105">
        <v>2007</v>
      </c>
      <c r="O2" s="106" t="s">
        <v>70</v>
      </c>
      <c r="P2" s="107">
        <v>287</v>
      </c>
      <c r="Q2" s="107">
        <v>13087</v>
      </c>
      <c r="R2" s="108">
        <f t="shared" ref="R2:R34" si="0">P2/Q2</f>
        <v>2.193015970046611E-2</v>
      </c>
      <c r="S2" s="108"/>
      <c r="T2" s="109"/>
      <c r="U2" s="109"/>
      <c r="V2" s="121" t="s">
        <v>78</v>
      </c>
      <c r="W2" s="122"/>
      <c r="X2" s="123"/>
    </row>
    <row r="3" spans="1:24" x14ac:dyDescent="0.3">
      <c r="A3" s="35" t="s">
        <v>23</v>
      </c>
      <c r="B3" s="39">
        <v>151</v>
      </c>
      <c r="C3" s="37">
        <v>158</v>
      </c>
      <c r="D3" s="37">
        <v>169</v>
      </c>
      <c r="E3" s="37">
        <v>183</v>
      </c>
      <c r="F3" s="37">
        <v>185</v>
      </c>
      <c r="G3" s="38">
        <v>186</v>
      </c>
      <c r="H3" s="132">
        <v>190</v>
      </c>
      <c r="I3" s="142">
        <v>33</v>
      </c>
      <c r="J3" s="143">
        <v>34</v>
      </c>
      <c r="K3" s="12">
        <f t="shared" ref="K3:K10" si="1">0.55*I3+0.45*J3</f>
        <v>33.450000000000003</v>
      </c>
      <c r="N3" s="105"/>
      <c r="O3" s="106" t="s">
        <v>69</v>
      </c>
      <c r="P3" s="107">
        <v>290</v>
      </c>
      <c r="Q3" s="111">
        <f t="shared" ref="Q3:Q13" si="2">Q2+63/11</f>
        <v>13092.727272727272</v>
      </c>
      <c r="R3" s="108">
        <f t="shared" si="0"/>
        <v>2.2149701430356897E-2</v>
      </c>
      <c r="S3" s="108"/>
      <c r="T3" s="109"/>
      <c r="U3" s="112">
        <f t="shared" ref="U3:U34" si="3">R3-R2</f>
        <v>2.1954172989078688E-4</v>
      </c>
      <c r="V3" s="124" t="s">
        <v>77</v>
      </c>
      <c r="W3" s="109"/>
      <c r="X3" s="110"/>
    </row>
    <row r="4" spans="1:24" x14ac:dyDescent="0.3">
      <c r="A4" s="35" t="s">
        <v>41</v>
      </c>
      <c r="B4" s="39">
        <v>132</v>
      </c>
      <c r="C4" s="37">
        <v>131</v>
      </c>
      <c r="D4" s="37">
        <v>133</v>
      </c>
      <c r="E4" s="37">
        <v>140</v>
      </c>
      <c r="F4" s="37">
        <v>141</v>
      </c>
      <c r="G4" s="38">
        <v>143</v>
      </c>
      <c r="H4" s="132">
        <v>146</v>
      </c>
      <c r="I4" s="142">
        <v>27</v>
      </c>
      <c r="J4" s="143">
        <v>25</v>
      </c>
      <c r="K4" s="12">
        <f t="shared" si="1"/>
        <v>26.1</v>
      </c>
      <c r="N4" s="105"/>
      <c r="O4" s="106" t="s">
        <v>68</v>
      </c>
      <c r="P4" s="107">
        <v>311</v>
      </c>
      <c r="Q4" s="111">
        <f t="shared" si="2"/>
        <v>13098.454545454544</v>
      </c>
      <c r="R4" s="108">
        <f t="shared" si="0"/>
        <v>2.3743259093716818E-2</v>
      </c>
      <c r="S4" s="108"/>
      <c r="T4" s="109"/>
      <c r="U4" s="112">
        <f t="shared" si="3"/>
        <v>1.5935576633599215E-3</v>
      </c>
      <c r="V4" s="124"/>
      <c r="W4" s="109"/>
      <c r="X4" s="110"/>
    </row>
    <row r="5" spans="1:24" x14ac:dyDescent="0.3">
      <c r="A5" s="35" t="s">
        <v>20</v>
      </c>
      <c r="B5" s="39">
        <v>130</v>
      </c>
      <c r="C5" s="37">
        <v>145</v>
      </c>
      <c r="D5" s="37">
        <v>153</v>
      </c>
      <c r="E5" s="37">
        <v>167</v>
      </c>
      <c r="F5" s="37">
        <v>172</v>
      </c>
      <c r="G5" s="38">
        <v>184</v>
      </c>
      <c r="H5" s="132">
        <v>201</v>
      </c>
      <c r="I5" s="142">
        <v>35</v>
      </c>
      <c r="J5" s="143">
        <v>33</v>
      </c>
      <c r="K5" s="12">
        <f t="shared" si="1"/>
        <v>34.1</v>
      </c>
      <c r="N5" s="105"/>
      <c r="O5" s="106" t="s">
        <v>67</v>
      </c>
      <c r="P5" s="107">
        <v>338</v>
      </c>
      <c r="Q5" s="111">
        <f t="shared" si="2"/>
        <v>13104.181818181816</v>
      </c>
      <c r="R5" s="108">
        <f t="shared" si="0"/>
        <v>2.5793292911353769E-2</v>
      </c>
      <c r="S5" s="108"/>
      <c r="T5" s="109"/>
      <c r="U5" s="112">
        <f t="shared" si="3"/>
        <v>2.0500338176369509E-3</v>
      </c>
      <c r="V5" s="124" t="s">
        <v>76</v>
      </c>
      <c r="W5" s="109"/>
      <c r="X5" s="110"/>
    </row>
    <row r="6" spans="1:24" ht="15" thickBot="1" x14ac:dyDescent="0.35">
      <c r="A6" s="35" t="s">
        <v>42</v>
      </c>
      <c r="B6" s="39">
        <v>84</v>
      </c>
      <c r="C6" s="37">
        <v>84</v>
      </c>
      <c r="D6" s="37">
        <v>87</v>
      </c>
      <c r="E6" s="37">
        <v>89</v>
      </c>
      <c r="F6" s="37">
        <v>88</v>
      </c>
      <c r="G6" s="38">
        <v>88</v>
      </c>
      <c r="H6" s="132">
        <v>90</v>
      </c>
      <c r="I6" s="142">
        <v>26</v>
      </c>
      <c r="J6" s="143">
        <v>34</v>
      </c>
      <c r="K6" s="12">
        <f t="shared" si="1"/>
        <v>29.6</v>
      </c>
      <c r="N6" s="105"/>
      <c r="O6" s="106" t="s">
        <v>37</v>
      </c>
      <c r="P6" s="107">
        <v>360</v>
      </c>
      <c r="Q6" s="111">
        <f t="shared" si="2"/>
        <v>13109.909090909088</v>
      </c>
      <c r="R6" s="108">
        <f t="shared" si="0"/>
        <v>2.7460144651166023E-2</v>
      </c>
      <c r="S6" s="108"/>
      <c r="T6" s="109"/>
      <c r="U6" s="112">
        <f t="shared" si="3"/>
        <v>1.6668517398122536E-3</v>
      </c>
      <c r="V6" s="125" t="s">
        <v>75</v>
      </c>
      <c r="W6" s="119"/>
      <c r="X6" s="120"/>
    </row>
    <row r="7" spans="1:24" x14ac:dyDescent="0.3">
      <c r="A7" s="35" t="s">
        <v>22</v>
      </c>
      <c r="B7" s="39">
        <v>57</v>
      </c>
      <c r="C7" s="37">
        <v>58</v>
      </c>
      <c r="D7" s="37">
        <v>59</v>
      </c>
      <c r="E7" s="37">
        <v>60</v>
      </c>
      <c r="F7" s="37">
        <v>60</v>
      </c>
      <c r="G7" s="38">
        <v>60</v>
      </c>
      <c r="H7" s="132">
        <v>58</v>
      </c>
      <c r="I7" s="142">
        <v>48</v>
      </c>
      <c r="J7" s="143">
        <v>45</v>
      </c>
      <c r="K7" s="12">
        <f t="shared" si="1"/>
        <v>46.650000000000006</v>
      </c>
      <c r="N7" s="105"/>
      <c r="O7" s="106" t="s">
        <v>66</v>
      </c>
      <c r="P7" s="107">
        <v>413</v>
      </c>
      <c r="Q7" s="111">
        <f t="shared" si="2"/>
        <v>13115.63636363636</v>
      </c>
      <c r="R7" s="108">
        <f t="shared" si="0"/>
        <v>3.1489131640235118E-2</v>
      </c>
      <c r="S7" s="108"/>
      <c r="T7" s="109"/>
      <c r="U7" s="112">
        <f t="shared" si="3"/>
        <v>4.0289869890690957E-3</v>
      </c>
      <c r="V7" s="109"/>
      <c r="W7" s="109"/>
      <c r="X7" s="110"/>
    </row>
    <row r="8" spans="1:24" x14ac:dyDescent="0.3">
      <c r="A8" s="35" t="s">
        <v>43</v>
      </c>
      <c r="B8" s="39">
        <v>13</v>
      </c>
      <c r="C8" s="37">
        <v>18</v>
      </c>
      <c r="D8" s="37">
        <v>18</v>
      </c>
      <c r="E8" s="37">
        <v>18</v>
      </c>
      <c r="F8" s="37">
        <v>18</v>
      </c>
      <c r="G8" s="38">
        <v>18</v>
      </c>
      <c r="H8" s="132">
        <v>18</v>
      </c>
      <c r="I8" s="142">
        <v>29</v>
      </c>
      <c r="J8" s="143">
        <v>40</v>
      </c>
      <c r="K8" s="12">
        <f t="shared" si="1"/>
        <v>33.950000000000003</v>
      </c>
      <c r="N8" s="105"/>
      <c r="O8" s="106" t="s">
        <v>65</v>
      </c>
      <c r="P8" s="107">
        <v>457</v>
      </c>
      <c r="Q8" s="111">
        <f t="shared" si="2"/>
        <v>13121.363636363632</v>
      </c>
      <c r="R8" s="108">
        <f t="shared" si="0"/>
        <v>3.4828697128208692E-2</v>
      </c>
      <c r="S8" s="108"/>
      <c r="T8" s="109"/>
      <c r="U8" s="112">
        <f t="shared" si="3"/>
        <v>3.3395654879735739E-3</v>
      </c>
      <c r="V8" s="109"/>
      <c r="W8" s="109"/>
      <c r="X8" s="110"/>
    </row>
    <row r="9" spans="1:24" x14ac:dyDescent="0.3">
      <c r="A9" s="40" t="s">
        <v>44</v>
      </c>
      <c r="B9" s="41">
        <v>4</v>
      </c>
      <c r="C9" s="41">
        <v>4</v>
      </c>
      <c r="D9" s="41">
        <v>4</v>
      </c>
      <c r="E9" s="41">
        <v>4</v>
      </c>
      <c r="F9" s="41">
        <v>4</v>
      </c>
      <c r="G9" s="41">
        <v>4</v>
      </c>
      <c r="H9" s="133">
        <v>4</v>
      </c>
      <c r="I9" s="142">
        <v>27</v>
      </c>
      <c r="J9" s="143">
        <v>24</v>
      </c>
      <c r="K9" s="12">
        <f t="shared" si="1"/>
        <v>25.650000000000002</v>
      </c>
      <c r="N9" s="105"/>
      <c r="O9" s="106" t="s">
        <v>63</v>
      </c>
      <c r="P9" s="107">
        <v>491</v>
      </c>
      <c r="Q9" s="111">
        <f t="shared" si="2"/>
        <v>13127.090909090904</v>
      </c>
      <c r="R9" s="108">
        <f t="shared" si="0"/>
        <v>3.7403565146331683E-2</v>
      </c>
      <c r="S9" s="108"/>
      <c r="T9" s="109"/>
      <c r="U9" s="112">
        <f t="shared" si="3"/>
        <v>2.5748680181229902E-3</v>
      </c>
      <c r="V9" s="109"/>
      <c r="W9" s="109"/>
      <c r="X9" s="110"/>
    </row>
    <row r="10" spans="1:24" x14ac:dyDescent="0.3">
      <c r="A10" s="40" t="s">
        <v>19</v>
      </c>
      <c r="B10" s="41">
        <v>2</v>
      </c>
      <c r="C10" s="41">
        <v>2</v>
      </c>
      <c r="D10" s="41">
        <v>2</v>
      </c>
      <c r="E10" s="41">
        <v>2</v>
      </c>
      <c r="F10" s="41">
        <v>2</v>
      </c>
      <c r="G10" s="41">
        <v>2</v>
      </c>
      <c r="H10" s="133">
        <v>2</v>
      </c>
      <c r="I10" s="142">
        <v>40</v>
      </c>
      <c r="J10" s="143">
        <v>45</v>
      </c>
      <c r="K10" s="12">
        <f t="shared" si="1"/>
        <v>42.25</v>
      </c>
      <c r="N10" s="105"/>
      <c r="O10" s="106" t="s">
        <v>74</v>
      </c>
      <c r="P10" s="107">
        <v>504</v>
      </c>
      <c r="Q10" s="111">
        <f t="shared" si="2"/>
        <v>13132.818181818177</v>
      </c>
      <c r="R10" s="108">
        <f t="shared" si="0"/>
        <v>3.8377139850894026E-2</v>
      </c>
      <c r="S10" s="108"/>
      <c r="T10" s="109"/>
      <c r="U10" s="112">
        <f t="shared" si="3"/>
        <v>9.7357470456234385E-4</v>
      </c>
      <c r="V10" s="109"/>
      <c r="W10" s="109"/>
      <c r="X10" s="110"/>
    </row>
    <row r="11" spans="1:24" ht="27.75" customHeight="1" x14ac:dyDescent="0.3">
      <c r="A11" s="35" t="s">
        <v>46</v>
      </c>
      <c r="B11" s="36">
        <v>9424</v>
      </c>
      <c r="C11" s="37">
        <v>9343</v>
      </c>
      <c r="D11" s="37">
        <v>9183</v>
      </c>
      <c r="E11" s="37">
        <v>9022</v>
      </c>
      <c r="F11" s="37">
        <v>8947</v>
      </c>
      <c r="G11" s="38">
        <v>8878</v>
      </c>
      <c r="H11" s="132">
        <v>8773</v>
      </c>
      <c r="I11" s="142">
        <v>16</v>
      </c>
      <c r="J11" s="143">
        <v>24</v>
      </c>
      <c r="K11" s="12">
        <f>0.55*I11+0.45*J11</f>
        <v>19.600000000000001</v>
      </c>
      <c r="N11" s="105"/>
      <c r="O11" s="106" t="s">
        <v>73</v>
      </c>
      <c r="P11" s="107">
        <v>550</v>
      </c>
      <c r="Q11" s="111">
        <f t="shared" si="2"/>
        <v>13138.545454545449</v>
      </c>
      <c r="R11" s="108">
        <f t="shared" si="0"/>
        <v>4.1861559325786737E-2</v>
      </c>
      <c r="S11" s="108"/>
      <c r="T11" s="109"/>
      <c r="U11" s="112">
        <f t="shared" si="3"/>
        <v>3.484419474892711E-3</v>
      </c>
      <c r="V11" s="109"/>
      <c r="W11" s="109"/>
      <c r="X11" s="110"/>
    </row>
    <row r="12" spans="1:24" x14ac:dyDescent="0.3">
      <c r="A12" s="35" t="s">
        <v>47</v>
      </c>
      <c r="B12" s="36">
        <v>1507</v>
      </c>
      <c r="C12" s="37">
        <v>1496</v>
      </c>
      <c r="D12" s="37">
        <v>1487</v>
      </c>
      <c r="E12" s="37">
        <v>1470</v>
      </c>
      <c r="F12" s="37">
        <v>1468</v>
      </c>
      <c r="G12" s="38">
        <v>1462</v>
      </c>
      <c r="H12" s="132">
        <v>1447</v>
      </c>
      <c r="I12" s="142">
        <v>17</v>
      </c>
      <c r="J12" s="143">
        <v>23</v>
      </c>
      <c r="K12" s="12">
        <f>0.55*I12+0.45*J12</f>
        <v>19.700000000000003</v>
      </c>
      <c r="N12" s="105"/>
      <c r="O12" s="106" t="s">
        <v>72</v>
      </c>
      <c r="P12" s="107">
        <v>617</v>
      </c>
      <c r="Q12" s="111">
        <f t="shared" si="2"/>
        <v>13144.272727272721</v>
      </c>
      <c r="R12" s="108">
        <f t="shared" si="0"/>
        <v>4.6940596319171177E-2</v>
      </c>
      <c r="S12" s="108"/>
      <c r="T12" s="109"/>
      <c r="U12" s="112">
        <f t="shared" si="3"/>
        <v>5.0790369933844393E-3</v>
      </c>
      <c r="V12" s="109"/>
      <c r="W12" s="109"/>
      <c r="X12" s="110"/>
    </row>
    <row r="13" spans="1:24" x14ac:dyDescent="0.3">
      <c r="A13" s="35" t="s">
        <v>48</v>
      </c>
      <c r="B13" s="39">
        <v>140</v>
      </c>
      <c r="C13" s="37">
        <v>140</v>
      </c>
      <c r="D13" s="37">
        <v>140</v>
      </c>
      <c r="E13" s="37">
        <v>139</v>
      </c>
      <c r="F13" s="37">
        <v>140</v>
      </c>
      <c r="G13" s="38">
        <v>140</v>
      </c>
      <c r="H13" s="132">
        <v>139</v>
      </c>
      <c r="I13" s="142">
        <v>16</v>
      </c>
      <c r="J13" s="143">
        <v>23</v>
      </c>
      <c r="K13" s="12">
        <f>0.55*I13+0.45*J13</f>
        <v>19.149999999999999</v>
      </c>
      <c r="N13" s="105"/>
      <c r="O13" s="106" t="s">
        <v>71</v>
      </c>
      <c r="P13" s="107">
        <v>667</v>
      </c>
      <c r="Q13" s="111">
        <f t="shared" si="2"/>
        <v>13149.999999999993</v>
      </c>
      <c r="R13" s="108">
        <f t="shared" si="0"/>
        <v>5.0722433460076072E-2</v>
      </c>
      <c r="S13" s="126">
        <f>AVERAGE(R2:R13)</f>
        <v>3.3558306721480254E-2</v>
      </c>
      <c r="T13" s="109"/>
      <c r="U13" s="112">
        <f t="shared" si="3"/>
        <v>3.7818371409048951E-3</v>
      </c>
      <c r="V13" s="109"/>
      <c r="W13" s="109"/>
      <c r="X13" s="110"/>
    </row>
    <row r="14" spans="1:24" x14ac:dyDescent="0.3">
      <c r="A14" s="35" t="s">
        <v>49</v>
      </c>
      <c r="B14" s="39">
        <v>59</v>
      </c>
      <c r="C14" s="46">
        <v>59</v>
      </c>
      <c r="D14" s="46">
        <v>58</v>
      </c>
      <c r="E14" s="46">
        <v>56</v>
      </c>
      <c r="F14" s="46">
        <v>55</v>
      </c>
      <c r="G14" s="38">
        <v>54</v>
      </c>
      <c r="H14" s="132">
        <v>47</v>
      </c>
      <c r="I14" s="142">
        <v>16</v>
      </c>
      <c r="J14" s="143">
        <v>23</v>
      </c>
      <c r="K14" s="12">
        <f>0.55*I14+0.45*J14</f>
        <v>19.149999999999999</v>
      </c>
      <c r="N14" s="105">
        <v>2008</v>
      </c>
      <c r="O14" s="106" t="s">
        <v>70</v>
      </c>
      <c r="P14" s="107">
        <v>733</v>
      </c>
      <c r="Q14" s="111">
        <f t="shared" ref="Q14:Q25" si="4">Q13+87/12</f>
        <v>13157.249999999993</v>
      </c>
      <c r="R14" s="108">
        <f t="shared" si="0"/>
        <v>5.5710729825761494E-2</v>
      </c>
      <c r="S14" s="108"/>
      <c r="T14" s="112">
        <f t="shared" ref="T14:T34" si="5">R14-R2</f>
        <v>3.3780570125295381E-2</v>
      </c>
      <c r="U14" s="112">
        <f t="shared" si="3"/>
        <v>4.9882963656854226E-3</v>
      </c>
      <c r="V14" s="109"/>
      <c r="W14" s="109"/>
      <c r="X14" s="110"/>
    </row>
    <row r="15" spans="1:24" x14ac:dyDescent="0.3">
      <c r="A15" s="35" t="s">
        <v>50</v>
      </c>
      <c r="B15" s="38">
        <v>11</v>
      </c>
      <c r="C15" s="46">
        <v>18</v>
      </c>
      <c r="D15" s="46">
        <v>21</v>
      </c>
      <c r="E15" s="46">
        <v>26</v>
      </c>
      <c r="F15" s="46">
        <v>24</v>
      </c>
      <c r="G15" s="38">
        <v>37</v>
      </c>
      <c r="H15" s="132">
        <v>54</v>
      </c>
      <c r="I15" s="142"/>
      <c r="J15" s="143"/>
      <c r="K15" s="12"/>
      <c r="N15" s="105"/>
      <c r="O15" s="106" t="s">
        <v>69</v>
      </c>
      <c r="P15" s="107">
        <v>822</v>
      </c>
      <c r="Q15" s="111">
        <f t="shared" si="4"/>
        <v>13164.499999999993</v>
      </c>
      <c r="R15" s="108">
        <f t="shared" si="0"/>
        <v>6.2440654791294806E-2</v>
      </c>
      <c r="S15" s="108"/>
      <c r="T15" s="112">
        <f t="shared" si="5"/>
        <v>4.0290953360937909E-2</v>
      </c>
      <c r="U15" s="112">
        <f t="shared" si="3"/>
        <v>6.7299249655333113E-3</v>
      </c>
      <c r="V15" s="109"/>
      <c r="W15" s="109"/>
      <c r="X15" s="110"/>
    </row>
    <row r="16" spans="1:24" x14ac:dyDescent="0.3">
      <c r="A16" s="42" t="s">
        <v>45</v>
      </c>
      <c r="B16" s="43">
        <v>2084</v>
      </c>
      <c r="C16" s="44">
        <v>2169</v>
      </c>
      <c r="D16" s="44">
        <v>2336</v>
      </c>
      <c r="E16" s="44">
        <v>2512</v>
      </c>
      <c r="F16" s="44">
        <v>2591</v>
      </c>
      <c r="G16" s="45">
        <v>2654</v>
      </c>
      <c r="H16" s="134">
        <f>SUM(H2:H10)</f>
        <v>2777</v>
      </c>
      <c r="N16" s="105"/>
      <c r="O16" s="106" t="s">
        <v>68</v>
      </c>
      <c r="P16" s="107">
        <v>913</v>
      </c>
      <c r="Q16" s="111">
        <f t="shared" si="4"/>
        <v>13171.749999999993</v>
      </c>
      <c r="R16" s="108">
        <f t="shared" si="0"/>
        <v>6.9315011293108394E-2</v>
      </c>
      <c r="S16" s="108"/>
      <c r="T16" s="112">
        <f t="shared" si="5"/>
        <v>4.557175219939158E-2</v>
      </c>
      <c r="U16" s="112">
        <f t="shared" si="3"/>
        <v>6.8743565018135888E-3</v>
      </c>
      <c r="V16" s="109"/>
      <c r="W16" s="109"/>
      <c r="X16" s="110"/>
    </row>
    <row r="17" spans="1:24" x14ac:dyDescent="0.3">
      <c r="A17" s="47" t="s">
        <v>51</v>
      </c>
      <c r="B17" s="38">
        <v>13237</v>
      </c>
      <c r="C17" s="36">
        <v>13237</v>
      </c>
      <c r="D17" s="36">
        <v>13237</v>
      </c>
      <c r="E17" s="36">
        <v>13237</v>
      </c>
      <c r="F17" s="36">
        <v>13237</v>
      </c>
      <c r="G17" s="38">
        <v>13237</v>
      </c>
      <c r="H17" s="132">
        <v>13237</v>
      </c>
      <c r="I17" s="135"/>
      <c r="J17" s="144"/>
      <c r="N17" s="105"/>
      <c r="O17" s="106" t="s">
        <v>67</v>
      </c>
      <c r="P17" s="107">
        <v>1014</v>
      </c>
      <c r="Q17" s="111">
        <f t="shared" si="4"/>
        <v>13178.999999999993</v>
      </c>
      <c r="R17" s="108">
        <f t="shared" si="0"/>
        <v>7.6940587297974095E-2</v>
      </c>
      <c r="S17" s="108"/>
      <c r="T17" s="112">
        <f t="shared" si="5"/>
        <v>5.1147294386620329E-2</v>
      </c>
      <c r="U17" s="112">
        <f t="shared" si="3"/>
        <v>7.6255760048657001E-3</v>
      </c>
      <c r="V17" s="109"/>
      <c r="W17" s="109"/>
      <c r="X17" s="110"/>
    </row>
    <row r="18" spans="1:24" ht="27" customHeight="1" thickBot="1" x14ac:dyDescent="0.35">
      <c r="A18" t="s">
        <v>53</v>
      </c>
      <c r="B18" s="48">
        <f>SUM(B2:B7,B9:B10)</f>
        <v>2083</v>
      </c>
      <c r="C18" s="48">
        <f t="shared" ref="C18:H18" si="6">SUM(C2:C7,C9:C10)</f>
        <v>2163</v>
      </c>
      <c r="D18" s="48">
        <f t="shared" si="6"/>
        <v>2330</v>
      </c>
      <c r="E18" s="48">
        <f t="shared" si="6"/>
        <v>2506</v>
      </c>
      <c r="F18" s="48">
        <f t="shared" si="6"/>
        <v>2586</v>
      </c>
      <c r="G18" s="48">
        <f t="shared" si="6"/>
        <v>2648</v>
      </c>
      <c r="H18" s="48">
        <f t="shared" si="6"/>
        <v>2759</v>
      </c>
      <c r="I18" s="138" t="s">
        <v>86</v>
      </c>
      <c r="J18" s="139"/>
      <c r="K18" s="136"/>
      <c r="L18" s="136"/>
      <c r="M18" s="137"/>
      <c r="N18" s="105"/>
      <c r="O18" s="106" t="s">
        <v>37</v>
      </c>
      <c r="P18" s="107">
        <v>1121</v>
      </c>
      <c r="Q18" s="111">
        <f t="shared" si="4"/>
        <v>13186.249999999993</v>
      </c>
      <c r="R18" s="108">
        <f t="shared" si="0"/>
        <v>8.5012797421556596E-2</v>
      </c>
      <c r="S18" s="108"/>
      <c r="T18" s="112">
        <f t="shared" si="5"/>
        <v>5.7552652770390574E-2</v>
      </c>
      <c r="U18" s="112">
        <f t="shared" si="3"/>
        <v>8.0722101235825017E-3</v>
      </c>
      <c r="V18" s="109"/>
      <c r="W18" s="109"/>
      <c r="X18" s="110"/>
    </row>
    <row r="19" spans="1:24" x14ac:dyDescent="0.3">
      <c r="A19" t="s">
        <v>52</v>
      </c>
      <c r="B19" s="48">
        <f t="shared" ref="B19:H19" si="7">SUM(B11:B15,B8)</f>
        <v>11154</v>
      </c>
      <c r="C19" s="48">
        <f t="shared" si="7"/>
        <v>11074</v>
      </c>
      <c r="D19" s="48">
        <f t="shared" si="7"/>
        <v>10907</v>
      </c>
      <c r="E19" s="48">
        <f t="shared" si="7"/>
        <v>10731</v>
      </c>
      <c r="F19" s="48">
        <f t="shared" si="7"/>
        <v>10652</v>
      </c>
      <c r="G19" s="48">
        <f t="shared" si="7"/>
        <v>10589</v>
      </c>
      <c r="H19" s="48">
        <f t="shared" si="7"/>
        <v>10478</v>
      </c>
      <c r="I19" s="130"/>
      <c r="N19" s="105"/>
      <c r="O19" s="106" t="s">
        <v>66</v>
      </c>
      <c r="P19" s="107">
        <v>1240</v>
      </c>
      <c r="Q19" s="111">
        <f t="shared" si="4"/>
        <v>13193.499999999993</v>
      </c>
      <c r="R19" s="108">
        <f t="shared" si="0"/>
        <v>9.3985674764088423E-2</v>
      </c>
      <c r="S19" s="108"/>
      <c r="T19" s="112">
        <f t="shared" si="5"/>
        <v>6.2496543123853304E-2</v>
      </c>
      <c r="U19" s="112">
        <f t="shared" si="3"/>
        <v>8.9728773425318265E-3</v>
      </c>
      <c r="V19" s="109"/>
      <c r="W19" s="109"/>
      <c r="X19" s="110"/>
    </row>
    <row r="20" spans="1:24" x14ac:dyDescent="0.3">
      <c r="B20" s="49">
        <f>B18/B17</f>
        <v>0.15736194001662007</v>
      </c>
      <c r="C20" s="49">
        <f t="shared" ref="C20:H20" si="8">C18/C17</f>
        <v>0.1634056054997356</v>
      </c>
      <c r="D20" s="49">
        <f t="shared" si="8"/>
        <v>0.1760217571957392</v>
      </c>
      <c r="E20" s="49">
        <f t="shared" si="8"/>
        <v>0.18931782125859334</v>
      </c>
      <c r="F20" s="49">
        <f t="shared" si="8"/>
        <v>0.19536148674170883</v>
      </c>
      <c r="G20" s="49">
        <f t="shared" si="8"/>
        <v>0.20004532749112336</v>
      </c>
      <c r="H20" s="49">
        <f t="shared" si="8"/>
        <v>0.20843091334894615</v>
      </c>
      <c r="N20" s="105"/>
      <c r="O20" s="106" t="s">
        <v>65</v>
      </c>
      <c r="P20" s="107">
        <v>1321</v>
      </c>
      <c r="Q20" s="111">
        <f t="shared" si="4"/>
        <v>13200.749999999993</v>
      </c>
      <c r="R20" s="108">
        <f t="shared" si="0"/>
        <v>0.10007007177622489</v>
      </c>
      <c r="S20" s="108"/>
      <c r="T20" s="112">
        <f t="shared" si="5"/>
        <v>6.5241374648016187E-2</v>
      </c>
      <c r="U20" s="112">
        <f t="shared" si="3"/>
        <v>6.0843970121364638E-3</v>
      </c>
      <c r="V20" s="109"/>
      <c r="W20" s="109"/>
      <c r="X20" s="110"/>
    </row>
    <row r="21" spans="1:24" x14ac:dyDescent="0.3">
      <c r="A21" s="32" t="s">
        <v>85</v>
      </c>
      <c r="J21" s="129"/>
      <c r="K21" s="127"/>
      <c r="N21" s="105"/>
      <c r="O21" s="106" t="s">
        <v>63</v>
      </c>
      <c r="P21" s="107">
        <v>1369</v>
      </c>
      <c r="Q21" s="111">
        <f t="shared" si="4"/>
        <v>13207.999999999993</v>
      </c>
      <c r="R21" s="108">
        <f t="shared" si="0"/>
        <v>0.10364930345245311</v>
      </c>
      <c r="S21" s="108"/>
      <c r="T21" s="112">
        <f t="shared" si="5"/>
        <v>6.6245738306121432E-2</v>
      </c>
      <c r="U21" s="112">
        <f t="shared" si="3"/>
        <v>3.5792316762282284E-3</v>
      </c>
      <c r="V21" s="109"/>
      <c r="W21" s="109"/>
      <c r="X21" s="110"/>
    </row>
    <row r="22" spans="1:24" x14ac:dyDescent="0.3">
      <c r="N22" s="105"/>
      <c r="O22" s="106" t="s">
        <v>74</v>
      </c>
      <c r="P22" s="107">
        <v>1407</v>
      </c>
      <c r="Q22" s="111">
        <f t="shared" si="4"/>
        <v>13215.249999999993</v>
      </c>
      <c r="R22" s="108">
        <f t="shared" si="0"/>
        <v>0.10646790639601982</v>
      </c>
      <c r="S22" s="108"/>
      <c r="T22" s="112">
        <f t="shared" si="5"/>
        <v>6.8090766545125789E-2</v>
      </c>
      <c r="U22" s="112">
        <f t="shared" si="3"/>
        <v>2.8186029435667004E-3</v>
      </c>
      <c r="V22" s="109"/>
      <c r="W22" s="109"/>
      <c r="X22" s="110"/>
    </row>
    <row r="23" spans="1:24" x14ac:dyDescent="0.3">
      <c r="H23" s="146" t="s">
        <v>92</v>
      </c>
      <c r="I23" s="151">
        <f>C37</f>
        <v>32.246608999999999</v>
      </c>
      <c r="N23" s="105"/>
      <c r="O23" s="106" t="s">
        <v>73</v>
      </c>
      <c r="P23" s="107">
        <v>1470</v>
      </c>
      <c r="Q23" s="111">
        <f t="shared" si="4"/>
        <v>13222.499999999993</v>
      </c>
      <c r="R23" s="108">
        <f t="shared" si="0"/>
        <v>0.11117413499716398</v>
      </c>
      <c r="S23" s="108"/>
      <c r="T23" s="112">
        <f t="shared" si="5"/>
        <v>6.9312575671377247E-2</v>
      </c>
      <c r="U23" s="112">
        <f t="shared" si="3"/>
        <v>4.706228601144169E-3</v>
      </c>
      <c r="V23" s="109"/>
      <c r="W23" s="109"/>
      <c r="X23" s="110"/>
    </row>
    <row r="24" spans="1:24" x14ac:dyDescent="0.3">
      <c r="H24" s="146" t="s">
        <v>94</v>
      </c>
      <c r="I24" s="147">
        <f>SUMPRODUCT(H2:H14,K2:K14)/SUM(H2:H14)</f>
        <v>22.356588030038687</v>
      </c>
      <c r="N24" s="105"/>
      <c r="O24" s="106" t="s">
        <v>72</v>
      </c>
      <c r="P24" s="107">
        <v>1616</v>
      </c>
      <c r="Q24" s="111">
        <f t="shared" si="4"/>
        <v>13229.749999999993</v>
      </c>
      <c r="R24" s="108">
        <f t="shared" si="0"/>
        <v>0.12214894461346593</v>
      </c>
      <c r="S24" s="108"/>
      <c r="T24" s="112">
        <f t="shared" si="5"/>
        <v>7.520834829429475E-2</v>
      </c>
      <c r="U24" s="112">
        <f t="shared" si="3"/>
        <v>1.0974809616301942E-2</v>
      </c>
      <c r="V24" s="109"/>
      <c r="W24" s="109"/>
      <c r="X24" s="110"/>
    </row>
    <row r="25" spans="1:24" x14ac:dyDescent="0.3">
      <c r="H25" s="146" t="s">
        <v>95</v>
      </c>
      <c r="I25" s="147">
        <f>SUMPRODUCT(H2:H10,K2:K10)/SUM(H2:H10)</f>
        <v>32.664133957508113</v>
      </c>
      <c r="N25" s="105"/>
      <c r="O25" s="106" t="s">
        <v>71</v>
      </c>
      <c r="P25" s="107">
        <v>1754</v>
      </c>
      <c r="Q25" s="107">
        <f t="shared" si="4"/>
        <v>13236.999999999993</v>
      </c>
      <c r="R25" s="108">
        <f t="shared" si="0"/>
        <v>0.13250736571730762</v>
      </c>
      <c r="S25" s="126">
        <f>AVERAGE(R14:R25)</f>
        <v>9.3285265195534928E-2</v>
      </c>
      <c r="T25" s="112">
        <f t="shared" si="5"/>
        <v>8.1784932257231546E-2</v>
      </c>
      <c r="U25" s="112">
        <f t="shared" si="3"/>
        <v>1.0358421103841692E-2</v>
      </c>
      <c r="V25" s="109"/>
      <c r="W25" s="109"/>
      <c r="X25" s="110"/>
    </row>
    <row r="26" spans="1:24" x14ac:dyDescent="0.3">
      <c r="N26" s="105">
        <v>2009</v>
      </c>
      <c r="O26" s="106" t="s">
        <v>70</v>
      </c>
      <c r="P26" s="107">
        <v>1868</v>
      </c>
      <c r="Q26" s="107">
        <f t="shared" ref="Q26:Q34" si="9">Q25</f>
        <v>13236.999999999993</v>
      </c>
      <c r="R26" s="108">
        <f t="shared" si="0"/>
        <v>0.14111958903074723</v>
      </c>
      <c r="S26" s="108"/>
      <c r="T26" s="112">
        <f t="shared" si="5"/>
        <v>8.5408859204985726E-2</v>
      </c>
      <c r="U26" s="112">
        <f t="shared" si="3"/>
        <v>8.6122233134396098E-3</v>
      </c>
      <c r="V26" s="109"/>
      <c r="W26" s="109"/>
      <c r="X26" s="110"/>
    </row>
    <row r="27" spans="1:24" x14ac:dyDescent="0.3">
      <c r="N27" s="105"/>
      <c r="O27" s="106" t="s">
        <v>69</v>
      </c>
      <c r="P27" s="107">
        <v>1976</v>
      </c>
      <c r="Q27" s="107">
        <f t="shared" si="9"/>
        <v>13236.999999999993</v>
      </c>
      <c r="R27" s="108">
        <f t="shared" si="0"/>
        <v>0.14927853743295316</v>
      </c>
      <c r="S27" s="108"/>
      <c r="T27" s="112">
        <f t="shared" si="5"/>
        <v>8.6837882641658357E-2</v>
      </c>
      <c r="U27" s="112">
        <f t="shared" si="3"/>
        <v>8.1589484022059344E-3</v>
      </c>
      <c r="V27" s="109"/>
      <c r="W27" s="109"/>
      <c r="X27" s="110"/>
    </row>
    <row r="28" spans="1:24" x14ac:dyDescent="0.3">
      <c r="A28" t="s">
        <v>88</v>
      </c>
      <c r="N28" s="105"/>
      <c r="O28" s="106" t="s">
        <v>68</v>
      </c>
      <c r="P28" s="107">
        <v>2083</v>
      </c>
      <c r="Q28" s="107">
        <f t="shared" si="9"/>
        <v>13236.999999999993</v>
      </c>
      <c r="R28" s="108">
        <f t="shared" si="0"/>
        <v>0.15736194001662016</v>
      </c>
      <c r="S28" s="108"/>
      <c r="T28" s="112">
        <f t="shared" si="5"/>
        <v>8.8046928723511761E-2</v>
      </c>
      <c r="U28" s="112">
        <f t="shared" si="3"/>
        <v>8.0834025836669932E-3</v>
      </c>
      <c r="V28" s="109"/>
      <c r="W28" s="109"/>
      <c r="X28" s="110"/>
    </row>
    <row r="29" spans="1:24" x14ac:dyDescent="0.3">
      <c r="A29" s="128" t="s">
        <v>17</v>
      </c>
      <c r="B29" s="11">
        <v>34</v>
      </c>
      <c r="C29" s="11">
        <v>31</v>
      </c>
      <c r="D29" t="s">
        <v>26</v>
      </c>
      <c r="N29" s="105"/>
      <c r="O29" s="106" t="s">
        <v>67</v>
      </c>
      <c r="P29" s="107">
        <v>2163</v>
      </c>
      <c r="Q29" s="107">
        <f t="shared" si="9"/>
        <v>13236.999999999993</v>
      </c>
      <c r="R29" s="108">
        <f t="shared" si="0"/>
        <v>0.16340560549973568</v>
      </c>
      <c r="S29" s="108"/>
      <c r="T29" s="112">
        <f t="shared" si="5"/>
        <v>8.6465018201761584E-2</v>
      </c>
      <c r="U29" s="112">
        <f t="shared" si="3"/>
        <v>6.0436654831155234E-3</v>
      </c>
      <c r="V29" s="109"/>
      <c r="W29" s="109"/>
      <c r="X29" s="110"/>
    </row>
    <row r="30" spans="1:24" x14ac:dyDescent="0.3">
      <c r="A30" s="128" t="s">
        <v>18</v>
      </c>
      <c r="B30" s="11">
        <v>34</v>
      </c>
      <c r="C30" s="11">
        <v>31</v>
      </c>
      <c r="D30" t="s">
        <v>26</v>
      </c>
      <c r="N30" s="105"/>
      <c r="O30" s="106" t="s">
        <v>37</v>
      </c>
      <c r="P30" s="107">
        <v>2330</v>
      </c>
      <c r="Q30" s="107">
        <f t="shared" si="9"/>
        <v>13236.999999999993</v>
      </c>
      <c r="R30" s="108">
        <f t="shared" si="0"/>
        <v>0.17602175719573931</v>
      </c>
      <c r="S30" s="108"/>
      <c r="T30" s="112">
        <f t="shared" si="5"/>
        <v>9.1008959774182718E-2</v>
      </c>
      <c r="U30" s="112">
        <f t="shared" si="3"/>
        <v>1.2616151696003636E-2</v>
      </c>
      <c r="V30" s="109"/>
      <c r="W30" s="109"/>
      <c r="X30" s="110"/>
    </row>
    <row r="31" spans="1:24" x14ac:dyDescent="0.3">
      <c r="A31" s="128" t="s">
        <v>19</v>
      </c>
      <c r="B31" s="11">
        <v>40</v>
      </c>
      <c r="C31" s="11">
        <v>45</v>
      </c>
      <c r="N31" s="105"/>
      <c r="O31" s="106" t="s">
        <v>66</v>
      </c>
      <c r="P31" s="107">
        <v>2506</v>
      </c>
      <c r="Q31" s="107">
        <f t="shared" si="9"/>
        <v>13236.999999999993</v>
      </c>
      <c r="R31" s="108">
        <f t="shared" si="0"/>
        <v>0.18931782125859345</v>
      </c>
      <c r="S31" s="108"/>
      <c r="T31" s="112">
        <f t="shared" si="5"/>
        <v>9.5332146494505027E-2</v>
      </c>
      <c r="U31" s="112">
        <f t="shared" si="3"/>
        <v>1.3296064062854135E-2</v>
      </c>
      <c r="V31" s="109"/>
      <c r="W31" s="109"/>
      <c r="X31" s="110"/>
    </row>
    <row r="32" spans="1:24" x14ac:dyDescent="0.3">
      <c r="A32" s="128" t="s">
        <v>21</v>
      </c>
      <c r="B32" s="11">
        <v>25</v>
      </c>
      <c r="C32" s="11">
        <v>32</v>
      </c>
      <c r="D32" t="s">
        <v>28</v>
      </c>
      <c r="N32" s="105"/>
      <c r="O32" s="106" t="s">
        <v>65</v>
      </c>
      <c r="P32" s="107">
        <v>2586</v>
      </c>
      <c r="Q32" s="107">
        <f t="shared" si="9"/>
        <v>13236.999999999993</v>
      </c>
      <c r="R32" s="108">
        <f t="shared" si="0"/>
        <v>0.19536148674170895</v>
      </c>
      <c r="S32" s="108"/>
      <c r="T32" s="112">
        <f t="shared" si="5"/>
        <v>9.5291414965484059E-2</v>
      </c>
      <c r="U32" s="112">
        <f t="shared" si="3"/>
        <v>6.0436654831154957E-3</v>
      </c>
      <c r="V32" s="113" t="s">
        <v>64</v>
      </c>
      <c r="W32" s="109"/>
      <c r="X32" s="110"/>
    </row>
    <row r="33" spans="2:24" x14ac:dyDescent="0.3">
      <c r="N33" s="105"/>
      <c r="O33" s="106" t="s">
        <v>63</v>
      </c>
      <c r="P33" s="107">
        <v>2648</v>
      </c>
      <c r="Q33" s="107">
        <f t="shared" si="9"/>
        <v>13236.999999999993</v>
      </c>
      <c r="R33" s="108">
        <f t="shared" si="0"/>
        <v>0.20004532749112347</v>
      </c>
      <c r="S33" s="108"/>
      <c r="T33" s="112">
        <f t="shared" si="5"/>
        <v>9.6396024038670355E-2</v>
      </c>
      <c r="U33" s="112">
        <f t="shared" si="3"/>
        <v>4.6838407494145251E-3</v>
      </c>
      <c r="V33" s="109"/>
      <c r="W33" s="109"/>
      <c r="X33" s="110"/>
    </row>
    <row r="34" spans="2:24" ht="15" thickBot="1" x14ac:dyDescent="0.35">
      <c r="B34" s="16" t="s">
        <v>24</v>
      </c>
      <c r="C34" s="89" t="s">
        <v>91</v>
      </c>
      <c r="D34" s="90"/>
      <c r="N34" s="114"/>
      <c r="O34" s="115" t="s">
        <v>62</v>
      </c>
      <c r="P34" s="116">
        <v>2759</v>
      </c>
      <c r="Q34" s="116">
        <f t="shared" si="9"/>
        <v>13236.999999999993</v>
      </c>
      <c r="R34" s="117">
        <f t="shared" si="0"/>
        <v>0.20843091334894626</v>
      </c>
      <c r="S34" s="117"/>
      <c r="T34" s="118">
        <f t="shared" si="5"/>
        <v>0.10196300695292644</v>
      </c>
      <c r="U34" s="118">
        <f t="shared" si="3"/>
        <v>8.385585857822786E-3</v>
      </c>
      <c r="V34" s="119"/>
      <c r="W34" s="119"/>
      <c r="X34" s="120"/>
    </row>
    <row r="35" spans="2:24" x14ac:dyDescent="0.3">
      <c r="B35" s="149">
        <v>2007</v>
      </c>
      <c r="C35" s="13">
        <v>32.109031999999999</v>
      </c>
      <c r="D35" s="148"/>
      <c r="N35" s="32" t="s">
        <v>87</v>
      </c>
    </row>
    <row r="36" spans="2:24" x14ac:dyDescent="0.3">
      <c r="B36" s="149">
        <v>2008</v>
      </c>
      <c r="C36" s="13">
        <v>32.216782000000002</v>
      </c>
      <c r="D36" s="148"/>
    </row>
    <row r="37" spans="2:24" x14ac:dyDescent="0.3">
      <c r="B37" s="149">
        <v>2009</v>
      </c>
      <c r="C37" s="13">
        <v>32.246608999999999</v>
      </c>
      <c r="D37" s="148"/>
    </row>
    <row r="38" spans="2:24" x14ac:dyDescent="0.3">
      <c r="B38" s="149">
        <v>2010</v>
      </c>
      <c r="C38" s="13">
        <v>32.379871000000001</v>
      </c>
      <c r="D38" s="148"/>
    </row>
    <row r="39" spans="2:24" x14ac:dyDescent="0.3">
      <c r="B39" s="149">
        <v>2011</v>
      </c>
      <c r="C39" s="13">
        <v>33.024028999999999</v>
      </c>
      <c r="D39" s="148"/>
    </row>
    <row r="40" spans="2:24" x14ac:dyDescent="0.3">
      <c r="B40" s="149">
        <v>2012</v>
      </c>
      <c r="C40" s="13">
        <v>33.826858999999999</v>
      </c>
      <c r="D40" s="148"/>
    </row>
    <row r="41" spans="2:24" x14ac:dyDescent="0.3">
      <c r="B41" s="149">
        <v>2013</v>
      </c>
      <c r="C41" s="13">
        <v>34.320259</v>
      </c>
      <c r="D41" s="148"/>
    </row>
    <row r="42" spans="2:24" ht="15" customHeight="1" x14ac:dyDescent="0.3">
      <c r="B42" s="149">
        <v>2014</v>
      </c>
      <c r="C42" s="13">
        <v>34.968753999999997</v>
      </c>
      <c r="D42" s="148"/>
      <c r="N42" s="127"/>
    </row>
    <row r="43" spans="2:24" x14ac:dyDescent="0.3">
      <c r="B43" s="149">
        <v>2015</v>
      </c>
      <c r="C43" s="13">
        <v>35.844261000000003</v>
      </c>
      <c r="D43" s="148"/>
    </row>
    <row r="44" spans="2:24" x14ac:dyDescent="0.3">
      <c r="B44" s="149">
        <v>2016</v>
      </c>
      <c r="C44" s="13">
        <v>36.703246999999998</v>
      </c>
      <c r="D44" s="148"/>
    </row>
    <row r="45" spans="2:24" x14ac:dyDescent="0.3">
      <c r="B45" s="149">
        <v>2017</v>
      </c>
      <c r="C45" s="13">
        <v>38.000908000000003</v>
      </c>
      <c r="D45" s="148"/>
    </row>
    <row r="46" spans="2:24" x14ac:dyDescent="0.3">
      <c r="B46" s="149">
        <v>2018</v>
      </c>
      <c r="C46" s="13">
        <v>38.620384000000001</v>
      </c>
      <c r="D46" s="148"/>
    </row>
    <row r="47" spans="2:24" x14ac:dyDescent="0.3">
      <c r="B47" s="149">
        <v>2019</v>
      </c>
      <c r="C47" s="13">
        <v>38.802601000000003</v>
      </c>
      <c r="D47" s="148"/>
    </row>
    <row r="48" spans="2:24" x14ac:dyDescent="0.3">
      <c r="B48" s="149">
        <v>2020</v>
      </c>
      <c r="C48" s="13">
        <v>39.069220999999999</v>
      </c>
      <c r="D48" s="148"/>
    </row>
    <row r="49" spans="2:4" x14ac:dyDescent="0.3">
      <c r="B49" s="149">
        <v>2021</v>
      </c>
      <c r="C49" s="13">
        <v>39.290218000000003</v>
      </c>
      <c r="D49" s="148"/>
    </row>
    <row r="50" spans="2:4" x14ac:dyDescent="0.3">
      <c r="B50" s="149">
        <v>2022</v>
      </c>
      <c r="C50" s="13">
        <v>39.509270000000001</v>
      </c>
      <c r="D50" s="148"/>
    </row>
    <row r="51" spans="2:4" x14ac:dyDescent="0.3">
      <c r="B51" s="149">
        <v>2023</v>
      </c>
      <c r="C51" s="13">
        <v>39.724761999999998</v>
      </c>
      <c r="D51" s="148"/>
    </row>
    <row r="52" spans="2:4" x14ac:dyDescent="0.3">
      <c r="B52" s="149">
        <v>2024</v>
      </c>
      <c r="C52" s="13">
        <v>39.936356000000004</v>
      </c>
      <c r="D52" s="148"/>
    </row>
    <row r="53" spans="2:4" x14ac:dyDescent="0.3">
      <c r="B53" s="149">
        <v>2025</v>
      </c>
      <c r="C53" s="13">
        <v>40.227694999999997</v>
      </c>
      <c r="D53" s="148"/>
    </row>
    <row r="54" spans="2:4" x14ac:dyDescent="0.3">
      <c r="B54" s="149">
        <v>2026</v>
      </c>
      <c r="C54" s="13">
        <v>40.499546000000002</v>
      </c>
      <c r="D54" s="148"/>
    </row>
    <row r="55" spans="2:4" x14ac:dyDescent="0.3">
      <c r="B55" s="149">
        <v>2027</v>
      </c>
      <c r="C55" s="13">
        <v>40.762974</v>
      </c>
      <c r="D55" s="148"/>
    </row>
    <row r="56" spans="2:4" x14ac:dyDescent="0.3">
      <c r="B56" s="149">
        <v>2028</v>
      </c>
      <c r="C56" s="13">
        <v>41.032352000000003</v>
      </c>
      <c r="D56" s="148"/>
    </row>
    <row r="57" spans="2:4" x14ac:dyDescent="0.3">
      <c r="B57" s="149">
        <v>2029</v>
      </c>
      <c r="C57" s="13">
        <v>41.303306999999997</v>
      </c>
      <c r="D57" s="148"/>
    </row>
    <row r="58" spans="2:4" x14ac:dyDescent="0.3">
      <c r="B58" s="149">
        <v>2030</v>
      </c>
      <c r="C58" s="13">
        <v>41.543835000000001</v>
      </c>
      <c r="D58" s="148"/>
    </row>
    <row r="59" spans="2:4" x14ac:dyDescent="0.3">
      <c r="B59" s="149">
        <v>2031</v>
      </c>
      <c r="C59" s="13">
        <v>41.802238000000003</v>
      </c>
      <c r="D59" s="148"/>
    </row>
    <row r="60" spans="2:4" x14ac:dyDescent="0.3">
      <c r="B60" s="149">
        <v>2032</v>
      </c>
      <c r="C60" s="13">
        <v>42.089218000000002</v>
      </c>
      <c r="D60" s="148"/>
    </row>
    <row r="61" spans="2:4" x14ac:dyDescent="0.3">
      <c r="B61" s="149">
        <v>2033</v>
      </c>
      <c r="C61" s="13">
        <v>42.335354000000002</v>
      </c>
      <c r="D61" s="148"/>
    </row>
    <row r="62" spans="2:4" x14ac:dyDescent="0.3">
      <c r="B62" s="149">
        <v>2034</v>
      </c>
      <c r="C62" s="13">
        <v>42.598590999999999</v>
      </c>
      <c r="D62" s="148"/>
    </row>
    <row r="63" spans="2:4" x14ac:dyDescent="0.3">
      <c r="B63" s="150">
        <v>2035</v>
      </c>
      <c r="C63" s="14">
        <v>43.012546999999998</v>
      </c>
      <c r="D63" s="4"/>
    </row>
  </sheetData>
  <pageMargins left="0.7" right="0.7" top="0.75" bottom="0.75" header="0.3" footer="0.3"/>
  <pageSetup scale="4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GHG emissions calculator</vt:lpstr>
      <vt:lpstr>Emissions Calculations by year</vt:lpstr>
      <vt:lpstr>Emission Factors</vt:lpstr>
      <vt:lpstr>Taxis</vt:lpstr>
    </vt:vector>
  </TitlesOfParts>
  <Company>AKRF,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Hillel Hammer</dc:creator>
  <cp:lastModifiedBy>Jingxi Zhao</cp:lastModifiedBy>
  <cp:lastPrinted>2010-02-17T14:58:29Z</cp:lastPrinted>
  <dcterms:created xsi:type="dcterms:W3CDTF">2010-02-08T15:55:49Z</dcterms:created>
  <dcterms:modified xsi:type="dcterms:W3CDTF">2019-06-06T02:58:59Z</dcterms:modified>
</cp:coreProperties>
</file>