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ash\Downloads\Business Forecasting\seasonility\"/>
    </mc:Choice>
  </mc:AlternateContent>
  <xr:revisionPtr revIDLastSave="0" documentId="13_ncr:1_{926A10DD-2F2D-4F45-8C52-FFB5ED6BC098}" xr6:coauthVersionLast="47" xr6:coauthVersionMax="47" xr10:uidLastSave="{00000000-0000-0000-0000-000000000000}"/>
  <bookViews>
    <workbookView xWindow="-108" yWindow="-108" windowWidth="23256" windowHeight="12456" firstSheet="3" activeTab="4" xr2:uid="{8DFF8B94-866A-46DA-961D-78E53AC09D80}"/>
  </bookViews>
  <sheets>
    <sheet name="Quarterly Average method" sheetId="1" r:id="rId1"/>
    <sheet name="QAM" sheetId="2" r:id="rId2"/>
    <sheet name="Matrix Normalization Method" sheetId="3" r:id="rId3"/>
    <sheet name=" Seasonality &amp; Trend Holt's Mod" sheetId="4" r:id="rId4"/>
    <sheet name="Multiplicative Decomposition Me" sheetId="5" r:id="rId5"/>
    <sheet name="MDM" sheetId="6" r:id="rId6"/>
  </sheets>
  <definedNames>
    <definedName name="solver_adj" localSheetId="3" hidden="1">' Seasonality &amp; Trend Holt''s Mod'!$N$3:$N$5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 Seasonality &amp; Trend Holt''s Mod'!$N$3:$N$5</definedName>
    <definedName name="solver_lhs2" localSheetId="3" hidden="1">' Seasonality &amp; Trend Holt''s Mod'!$N$3:$N$5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 Seasonality &amp; Trend Holt''s Mod'!$J$21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hs1" localSheetId="3" hidden="1">1</definedName>
    <definedName name="solver_rhs2" localSheetId="3" hidden="1">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5" l="1"/>
  <c r="R19" i="5"/>
  <c r="R3" i="5"/>
  <c r="R4" i="5"/>
  <c r="R5" i="5"/>
  <c r="R6" i="5"/>
  <c r="R7" i="5"/>
  <c r="R8" i="5"/>
  <c r="R9" i="5"/>
  <c r="R10" i="5"/>
  <c r="R11" i="5"/>
  <c r="R12" i="5"/>
  <c r="R13" i="5"/>
  <c r="R2" i="5"/>
  <c r="Q3" i="5"/>
  <c r="Q4" i="5"/>
  <c r="Q5" i="5"/>
  <c r="Q6" i="5"/>
  <c r="Q7" i="5"/>
  <c r="Q8" i="5"/>
  <c r="Q9" i="5"/>
  <c r="Q10" i="5"/>
  <c r="Q11" i="5"/>
  <c r="Q12" i="5"/>
  <c r="Q13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2" i="5"/>
  <c r="O14" i="5"/>
  <c r="O15" i="5"/>
  <c r="O16" i="5"/>
  <c r="O17" i="5"/>
  <c r="O4" i="5"/>
  <c r="O5" i="5"/>
  <c r="O6" i="5"/>
  <c r="O7" i="5"/>
  <c r="O8" i="5"/>
  <c r="O9" i="5"/>
  <c r="O10" i="5"/>
  <c r="O11" i="5"/>
  <c r="O12" i="5"/>
  <c r="O13" i="5"/>
  <c r="O3" i="5"/>
  <c r="O2" i="5"/>
  <c r="M15" i="5"/>
  <c r="M16" i="5"/>
  <c r="M17" i="5"/>
  <c r="M14" i="5"/>
  <c r="B15" i="6"/>
  <c r="B16" i="6"/>
  <c r="B17" i="6"/>
  <c r="B14" i="6"/>
  <c r="J5" i="6"/>
  <c r="L3" i="5" l="1"/>
  <c r="L4" i="5"/>
  <c r="L5" i="5"/>
  <c r="L6" i="5"/>
  <c r="L7" i="5"/>
  <c r="L8" i="5"/>
  <c r="L9" i="5"/>
  <c r="L10" i="5"/>
  <c r="L11" i="5"/>
  <c r="L12" i="5"/>
  <c r="L13" i="5"/>
  <c r="L2" i="5"/>
  <c r="I5" i="5"/>
  <c r="J5" i="5"/>
  <c r="J6" i="5"/>
  <c r="J7" i="5"/>
  <c r="J4" i="5"/>
  <c r="I14" i="5"/>
  <c r="I6" i="5"/>
  <c r="I7" i="5"/>
  <c r="I4" i="5"/>
  <c r="H4" i="5"/>
  <c r="H5" i="5"/>
  <c r="H6" i="5"/>
  <c r="H7" i="5"/>
  <c r="H8" i="5"/>
  <c r="H9" i="5"/>
  <c r="H10" i="5"/>
  <c r="H11" i="5"/>
  <c r="G5" i="5"/>
  <c r="G6" i="5"/>
  <c r="G7" i="5"/>
  <c r="G8" i="5"/>
  <c r="G9" i="5"/>
  <c r="G10" i="5"/>
  <c r="G11" i="5"/>
  <c r="F5" i="5"/>
  <c r="F6" i="5"/>
  <c r="F7" i="5"/>
  <c r="F8" i="5"/>
  <c r="F9" i="5"/>
  <c r="F10" i="5"/>
  <c r="F11" i="5"/>
  <c r="F12" i="5"/>
  <c r="F4" i="5"/>
  <c r="G4" i="5"/>
  <c r="E6" i="5"/>
  <c r="E7" i="5"/>
  <c r="E8" i="5"/>
  <c r="E9" i="5"/>
  <c r="E10" i="5"/>
  <c r="E11" i="5"/>
  <c r="E12" i="5"/>
  <c r="E5" i="5"/>
  <c r="D5" i="5"/>
  <c r="D6" i="5"/>
  <c r="D7" i="5"/>
  <c r="D8" i="5"/>
  <c r="D9" i="5"/>
  <c r="D10" i="5"/>
  <c r="D11" i="5"/>
  <c r="D12" i="5"/>
  <c r="D4" i="5"/>
  <c r="B15" i="5"/>
  <c r="B16" i="5"/>
  <c r="B17" i="5" s="1"/>
  <c r="B9" i="5"/>
  <c r="B10" i="5" s="1"/>
  <c r="B11" i="5" s="1"/>
  <c r="B12" i="5" s="1"/>
  <c r="B13" i="5" s="1"/>
  <c r="B14" i="5" s="1"/>
  <c r="B4" i="5"/>
  <c r="B5" i="5" s="1"/>
  <c r="B6" i="5" s="1"/>
  <c r="B7" i="5" s="1"/>
  <c r="B8" i="5" s="1"/>
  <c r="B3" i="5"/>
  <c r="D7" i="4" l="1"/>
  <c r="G6" i="4"/>
  <c r="F6" i="4"/>
  <c r="E6" i="4"/>
  <c r="D5" i="4"/>
  <c r="D6" i="4"/>
  <c r="F3" i="4"/>
  <c r="F4" i="4"/>
  <c r="F5" i="4"/>
  <c r="F2" i="4"/>
  <c r="B17" i="4"/>
  <c r="B14" i="4"/>
  <c r="B15" i="4" s="1"/>
  <c r="B16" i="4" s="1"/>
  <c r="B11" i="4"/>
  <c r="B12" i="4" s="1"/>
  <c r="B13" i="4" s="1"/>
  <c r="B4" i="4"/>
  <c r="B5" i="4" s="1"/>
  <c r="B6" i="4" s="1"/>
  <c r="B7" i="4" s="1"/>
  <c r="B8" i="4" s="1"/>
  <c r="B9" i="4" s="1"/>
  <c r="B10" i="4" s="1"/>
  <c r="B3" i="4"/>
  <c r="F34" i="3"/>
  <c r="D33" i="3"/>
  <c r="C31" i="3"/>
  <c r="C32" i="3"/>
  <c r="C30" i="3"/>
  <c r="E24" i="3"/>
  <c r="E14" i="3"/>
  <c r="E15" i="3"/>
  <c r="E16" i="3"/>
  <c r="E13" i="3"/>
  <c r="D14" i="3"/>
  <c r="D15" i="3"/>
  <c r="F15" i="3" s="1"/>
  <c r="D16" i="3"/>
  <c r="D13" i="3"/>
  <c r="F13" i="3" s="1"/>
  <c r="C14" i="3"/>
  <c r="F14" i="3" s="1"/>
  <c r="C15" i="3"/>
  <c r="C16" i="3"/>
  <c r="F16" i="3" s="1"/>
  <c r="C13" i="3"/>
  <c r="D8" i="3"/>
  <c r="D30" i="3" s="1"/>
  <c r="E8" i="3"/>
  <c r="E31" i="3" s="1"/>
  <c r="C8" i="3"/>
  <c r="C33" i="3" s="1"/>
  <c r="B16" i="1"/>
  <c r="C10" i="2"/>
  <c r="C11" i="2"/>
  <c r="F3" i="1"/>
  <c r="F4" i="1"/>
  <c r="F5" i="1"/>
  <c r="F6" i="1"/>
  <c r="F7" i="1"/>
  <c r="F8" i="1"/>
  <c r="F9" i="1"/>
  <c r="F2" i="1"/>
  <c r="G2" i="1" s="1"/>
  <c r="C10" i="1"/>
  <c r="D10" i="1"/>
  <c r="E10" i="1"/>
  <c r="B10" i="1"/>
  <c r="E7" i="4" l="1"/>
  <c r="D8" i="4" s="1"/>
  <c r="F7" i="4"/>
  <c r="B11" i="1"/>
  <c r="D11" i="1"/>
  <c r="E11" i="1"/>
  <c r="F31" i="3"/>
  <c r="G31" i="3" s="1"/>
  <c r="F32" i="3"/>
  <c r="G32" i="3" s="1"/>
  <c r="F30" i="3"/>
  <c r="G30" i="3" s="1"/>
  <c r="C11" i="1"/>
  <c r="D32" i="3"/>
  <c r="D31" i="3"/>
  <c r="E30" i="3"/>
  <c r="E33" i="3"/>
  <c r="F33" i="3" s="1"/>
  <c r="G33" i="3" s="1"/>
  <c r="E32" i="3"/>
  <c r="G7" i="4" l="1"/>
  <c r="H7" i="4" s="1"/>
  <c r="I7" i="4" s="1"/>
  <c r="J7" i="4" s="1"/>
  <c r="F8" i="4"/>
  <c r="E8" i="4"/>
  <c r="D9" i="4" s="1"/>
  <c r="E9" i="4" s="1"/>
  <c r="D10" i="4" s="1"/>
  <c r="E10" i="4" s="1"/>
  <c r="D11" i="4" s="1"/>
  <c r="C17" i="1"/>
  <c r="C15" i="1"/>
  <c r="E15" i="1"/>
  <c r="E17" i="1"/>
  <c r="D17" i="1"/>
  <c r="D15" i="1"/>
  <c r="B17" i="1"/>
  <c r="I11" i="1"/>
  <c r="B14" i="1" s="1"/>
  <c r="B15" i="1" s="1"/>
  <c r="G8" i="4" l="1"/>
  <c r="H8" i="4" s="1"/>
  <c r="I8" i="4" s="1"/>
  <c r="J8" i="4" s="1"/>
  <c r="F10" i="4"/>
  <c r="G10" i="4" s="1"/>
  <c r="H10" i="4" s="1"/>
  <c r="I10" i="4" s="1"/>
  <c r="J10" i="4" s="1"/>
  <c r="F9" i="4"/>
  <c r="G9" i="4" s="1"/>
  <c r="H9" i="4" s="1"/>
  <c r="I9" i="4" s="1"/>
  <c r="J9" i="4" s="1"/>
  <c r="F11" i="4"/>
  <c r="E11" i="4"/>
  <c r="G11" i="4" l="1"/>
  <c r="H11" i="4" s="1"/>
  <c r="I11" i="4" s="1"/>
  <c r="J11" i="4" s="1"/>
  <c r="D12" i="4"/>
  <c r="E12" i="4" s="1"/>
  <c r="D13" i="4" s="1"/>
  <c r="F12" i="4" l="1"/>
  <c r="E13" i="4"/>
  <c r="F13" i="4"/>
  <c r="G16" i="4" l="1"/>
  <c r="G17" i="4"/>
  <c r="G12" i="4"/>
  <c r="H12" i="4" s="1"/>
  <c r="I12" i="4" s="1"/>
  <c r="J12" i="4" s="1"/>
  <c r="G14" i="4"/>
  <c r="G15" i="4"/>
  <c r="G13" i="4"/>
  <c r="H13" i="4" s="1"/>
  <c r="I13" i="4" s="1"/>
  <c r="J13" i="4" s="1"/>
  <c r="I19" i="4" l="1"/>
  <c r="J19" i="4"/>
  <c r="J21" i="4" s="1"/>
</calcChain>
</file>

<file path=xl/sharedStrings.xml><?xml version="1.0" encoding="utf-8"?>
<sst xmlns="http://schemas.openxmlformats.org/spreadsheetml/2006/main" count="181" uniqueCount="97">
  <si>
    <t>Year</t>
  </si>
  <si>
    <t>Q1</t>
  </si>
  <si>
    <t>Q2</t>
  </si>
  <si>
    <t>Q3</t>
  </si>
  <si>
    <t>Q4</t>
  </si>
  <si>
    <t>2007?</t>
  </si>
  <si>
    <t>say using regression</t>
  </si>
  <si>
    <t>average</t>
  </si>
  <si>
    <t>step 1: avg of each quarter</t>
  </si>
  <si>
    <t>step 2: global average</t>
  </si>
  <si>
    <t>index</t>
  </si>
  <si>
    <t>step 3: seasonal index</t>
  </si>
  <si>
    <t>total average</t>
  </si>
  <si>
    <t>Sum (since we have 4 quarter)</t>
  </si>
  <si>
    <t>for monthly data sum of seasonal should be 12</t>
  </si>
  <si>
    <t>Year (X)</t>
  </si>
  <si>
    <t>Annual Sales (Y)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</si>
  <si>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</si>
  <si>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</si>
  <si>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</si>
  <si>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</si>
  <si>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</si>
  <si>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</si>
  <si>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</si>
  <si>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</si>
  <si>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</si>
  <si>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</si>
  <si>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</si>
  <si>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</si>
  <si>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</si>
  <si>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</si>
  <si>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</si>
  <si>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</si>
  <si>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</si>
  <si>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</si>
  <si>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</si>
  <si>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</si>
  <si>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</si>
  <si>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</si>
  <si>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</si>
  <si>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</si>
  <si>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y=mx+c</t>
  </si>
  <si>
    <t>y=ax+b</t>
  </si>
  <si>
    <t>step 4: prediction of next year total demand using y=mx+c</t>
  </si>
  <si>
    <t>total sales</t>
  </si>
  <si>
    <t>straightline prediction</t>
  </si>
  <si>
    <t>final forecast</t>
  </si>
  <si>
    <t xml:space="preserve">step: 5 </t>
  </si>
  <si>
    <t>using regression straightline prediction</t>
  </si>
  <si>
    <t>2008?</t>
  </si>
  <si>
    <t xml:space="preserve"> </t>
  </si>
  <si>
    <t>Quarters</t>
  </si>
  <si>
    <t>year 1</t>
  </si>
  <si>
    <t>year 2</t>
  </si>
  <si>
    <t>year 3</t>
  </si>
  <si>
    <t>Step 1:</t>
  </si>
  <si>
    <t>Step 2: Divide by respective total</t>
  </si>
  <si>
    <t>Step 3:</t>
  </si>
  <si>
    <t>Seasonal Index</t>
  </si>
  <si>
    <t>Step 4:</t>
  </si>
  <si>
    <t>X</t>
  </si>
  <si>
    <t>Y</t>
  </si>
  <si>
    <t>Step 5:</t>
  </si>
  <si>
    <t>Year 4??</t>
  </si>
  <si>
    <t>Sum of index in normalization method should always be 1</t>
  </si>
  <si>
    <t>Quarter</t>
  </si>
  <si>
    <t>Sales</t>
  </si>
  <si>
    <t>Level</t>
  </si>
  <si>
    <t>Trend</t>
  </si>
  <si>
    <t>Forecast</t>
  </si>
  <si>
    <t>Error</t>
  </si>
  <si>
    <t>Absolute Error</t>
  </si>
  <si>
    <t>Squared Error</t>
  </si>
  <si>
    <t>MAD</t>
  </si>
  <si>
    <t>MSE</t>
  </si>
  <si>
    <t>RMSE</t>
  </si>
  <si>
    <t>Alpha</t>
  </si>
  <si>
    <t>Beta</t>
  </si>
  <si>
    <t>Gamma</t>
  </si>
  <si>
    <t>CMA</t>
  </si>
  <si>
    <t>Dummy Index</t>
  </si>
  <si>
    <t>out of 4</t>
  </si>
  <si>
    <t>final index</t>
  </si>
  <si>
    <t>3rd Step ( Deseasonalize data line )</t>
  </si>
  <si>
    <t>Prediction without adjustment of seasonality using regression</t>
  </si>
  <si>
    <t>Sales (Y)</t>
  </si>
  <si>
    <t>Quarter (X)</t>
  </si>
  <si>
    <t>y=2.34X+124.7</t>
  </si>
  <si>
    <t>Step 4: using deseasonalized time series to identify trend</t>
  </si>
  <si>
    <t>Forecast of year 4</t>
  </si>
  <si>
    <t>error</t>
  </si>
  <si>
    <t>squared error</t>
  </si>
  <si>
    <t>Step 5: (Seasonal adjustment)</t>
  </si>
  <si>
    <t>Final Forecast decomposition method</t>
  </si>
  <si>
    <t>NOTE:</t>
  </si>
  <si>
    <t>For monthly average data the CMA starts calculating from 7th month</t>
  </si>
  <si>
    <t>For Quaterly average data the CMA calculation starts from 3rd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</si>
</sst>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14" borderId="0" xfId="0" applyFill="1"/>
    <xf numFmtId="0" fontId="2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570816</xdr:colOff>
      <xdr:row>1</xdr:row>
      <xdr:rowOff>38100</xdr:rowOff>
    </xdr:from>
    <xdr:to>
      <xdr:col>19</xdr:col>
      <xdr:colOff>495830</xdr:colOff>
      <xdr:row>14</xdr:row>
      <xdr:rowOff>106989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CFEF5A-1CE5-6E16-244B-E03BC1B2A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016" y="220980"/>
          <a:ext cx="4192214" cy="244632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26</xdr:col>
      <xdr:colOff>320755</xdr:colOff>
      <xdr:row>32</xdr:row>
      <xdr:rowOff>122137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1FD933-02CD-AF01-D7DD-D24C5EB4D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3474720"/>
          <a:ext cx="8245555" cy="2499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320040</xdr:colOff>
      <xdr:row>0</xdr:row>
      <xdr:rowOff>159855</xdr:rowOff>
    </xdr:from>
    <xdr:to>
      <xdr:col>23</xdr:col>
      <xdr:colOff>612</xdr:colOff>
      <xdr:row>17</xdr:row>
      <xdr:rowOff>84227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4FFE9E-D861-E11F-A161-B67D82880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4040" y="159855"/>
          <a:ext cx="4557372" cy="30333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508324</xdr:colOff>
      <xdr:row>18</xdr:row>
      <xdr:rowOff>152400</xdr:rowOff>
    </xdr:from>
    <xdr:to>
      <xdr:col>11</xdr:col>
      <xdr:colOff>107459</xdr:colOff>
      <xdr:row>32</xdr:row>
      <xdr:rowOff>122283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1F6B4C-B770-52AF-8DA3-1705B8FFD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7124" y="3444240"/>
          <a:ext cx="5428435" cy="2530203"/>
        </a:xfrm>
        <a:prstGeom prst="rect">
          <a:avLst/>
        </a:prstGeom>
      </xdr:spPr>
    </xdr:pic>
    <xdr:clientData/>
  </xdr:twoCellAnchor>
  <xdr:twoCellAnchor editAs="oneCell">
    <xdr:from>
      <xdr:col>7</xdr:col>
      <xdr:colOff>472440</xdr:colOff>
      <xdr:row>37</xdr:row>
      <xdr:rowOff>106680</xdr:rowOff>
    </xdr:from>
    <xdr:to>
      <xdr:col>16</xdr:col>
      <xdr:colOff>160834</xdr:colOff>
      <xdr:row>66</xdr:row>
      <xdr:rowOff>175726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D72FF3-D1D2-F165-89CD-9B2A586F9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9640" y="6873240"/>
          <a:ext cx="9388654" cy="53725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3401-6CFA-4477-A1A1-3D197F5169FD}">
  <dimension ref="A1:J20"/>
  <sheetViews>
    <sheetView workbookViewId="0">
      <selection activeCell="G20" sqref="G20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  <c r="G1" t="s">
        <v>12</v>
      </c>
    </row>
    <row r="2" spans="1:10" x14ac:dyDescent="0.3">
      <c r="A2">
        <v>1999</v>
      </c>
      <c r="B2">
        <v>18</v>
      </c>
      <c r="C2">
        <v>27</v>
      </c>
      <c r="D2">
        <v>23</v>
      </c>
      <c r="E2">
        <v>14</v>
      </c>
      <c r="F2">
        <f>SUM(B2:E2)</f>
        <v>82</v>
      </c>
      <c r="G2">
        <f>SUM(F2:F9)/32</f>
        <v>22.25</v>
      </c>
      <c r="J2" t="s">
        <v>8</v>
      </c>
    </row>
    <row r="3" spans="1:10" x14ac:dyDescent="0.3">
      <c r="A3">
        <v>2000</v>
      </c>
      <c r="B3">
        <v>17</v>
      </c>
      <c r="C3">
        <v>30</v>
      </c>
      <c r="D3">
        <v>20</v>
      </c>
      <c r="E3">
        <v>13</v>
      </c>
      <c r="F3">
        <f t="shared" ref="F3:F9" si="0">SUM(B3:E3)</f>
        <v>80</v>
      </c>
      <c r="J3" t="s">
        <v>9</v>
      </c>
    </row>
    <row r="4" spans="1:10" x14ac:dyDescent="0.3">
      <c r="A4">
        <v>2001</v>
      </c>
      <c r="B4">
        <v>21</v>
      </c>
      <c r="C4">
        <v>26</v>
      </c>
      <c r="D4">
        <v>23</v>
      </c>
      <c r="E4">
        <v>20</v>
      </c>
      <c r="F4">
        <f t="shared" si="0"/>
        <v>90</v>
      </c>
      <c r="J4" t="s">
        <v>11</v>
      </c>
    </row>
    <row r="5" spans="1:10" x14ac:dyDescent="0.3">
      <c r="A5">
        <v>2002</v>
      </c>
      <c r="B5">
        <v>21</v>
      </c>
      <c r="C5">
        <v>29</v>
      </c>
      <c r="D5">
        <v>26</v>
      </c>
      <c r="E5">
        <v>16</v>
      </c>
      <c r="F5">
        <f t="shared" si="0"/>
        <v>92</v>
      </c>
      <c r="J5" t="s">
        <v>43</v>
      </c>
    </row>
    <row r="6" spans="1:10" x14ac:dyDescent="0.3">
      <c r="A6">
        <v>2003</v>
      </c>
      <c r="B6">
        <v>19</v>
      </c>
      <c r="C6">
        <v>28</v>
      </c>
      <c r="D6">
        <v>22</v>
      </c>
      <c r="E6">
        <v>14</v>
      </c>
      <c r="F6">
        <f t="shared" si="0"/>
        <v>83</v>
      </c>
      <c r="J6" t="s">
        <v>47</v>
      </c>
    </row>
    <row r="7" spans="1:10" x14ac:dyDescent="0.3">
      <c r="A7">
        <v>2004</v>
      </c>
      <c r="B7">
        <v>22</v>
      </c>
      <c r="C7">
        <v>30</v>
      </c>
      <c r="D7">
        <v>26</v>
      </c>
      <c r="E7">
        <v>16</v>
      </c>
      <c r="F7">
        <f t="shared" si="0"/>
        <v>94</v>
      </c>
    </row>
    <row r="8" spans="1:10" x14ac:dyDescent="0.3">
      <c r="A8">
        <v>2005</v>
      </c>
      <c r="B8">
        <v>24</v>
      </c>
      <c r="C8">
        <v>32</v>
      </c>
      <c r="D8">
        <v>24</v>
      </c>
      <c r="E8">
        <v>19</v>
      </c>
      <c r="F8">
        <f t="shared" si="0"/>
        <v>99</v>
      </c>
    </row>
    <row r="9" spans="1:10" x14ac:dyDescent="0.3">
      <c r="A9">
        <v>2006</v>
      </c>
      <c r="B9">
        <v>21</v>
      </c>
      <c r="C9">
        <v>29</v>
      </c>
      <c r="D9">
        <v>29</v>
      </c>
      <c r="E9">
        <v>13</v>
      </c>
      <c r="F9">
        <f t="shared" si="0"/>
        <v>92</v>
      </c>
    </row>
    <row r="10" spans="1:10" x14ac:dyDescent="0.3">
      <c r="A10" t="s">
        <v>7</v>
      </c>
      <c r="B10">
        <f>AVERAGE(B2:B9)</f>
        <v>20.375</v>
      </c>
      <c r="C10">
        <f t="shared" ref="C10:E10" si="1">AVERAGE(C2:C9)</f>
        <v>28.875</v>
      </c>
      <c r="D10">
        <f t="shared" si="1"/>
        <v>24.125</v>
      </c>
      <c r="E10">
        <f t="shared" si="1"/>
        <v>15.625</v>
      </c>
    </row>
    <row r="11" spans="1:10" x14ac:dyDescent="0.3">
      <c r="A11" t="s">
        <v>10</v>
      </c>
      <c r="B11">
        <f>B10/$G$2</f>
        <v>0.9157303370786517</v>
      </c>
      <c r="C11">
        <f t="shared" ref="C11:E11" si="2">C10/$G$2</f>
        <v>1.297752808988764</v>
      </c>
      <c r="D11">
        <f t="shared" si="2"/>
        <v>1.0842696629213484</v>
      </c>
      <c r="E11">
        <f t="shared" si="2"/>
        <v>0.702247191011236</v>
      </c>
      <c r="H11" t="s">
        <v>13</v>
      </c>
      <c r="I11">
        <f>SUM(B11:E11)</f>
        <v>4</v>
      </c>
    </row>
    <row r="12" spans="1:10" x14ac:dyDescent="0.3">
      <c r="H12" t="s">
        <v>14</v>
      </c>
    </row>
    <row r="13" spans="1:10" x14ac:dyDescent="0.3">
      <c r="E13" s="6" t="s">
        <v>45</v>
      </c>
    </row>
    <row r="14" spans="1:10" x14ac:dyDescent="0.3">
      <c r="A14" s="6">
        <v>2007</v>
      </c>
      <c r="B14" s="6">
        <f>F14/$I$11</f>
        <v>24.5</v>
      </c>
      <c r="C14" s="6">
        <v>24.5</v>
      </c>
      <c r="D14" s="6">
        <v>24.5</v>
      </c>
      <c r="E14" s="6">
        <v>24.5</v>
      </c>
      <c r="F14" s="4">
        <v>98</v>
      </c>
      <c r="G14" s="4" t="s">
        <v>6</v>
      </c>
      <c r="H14" s="4"/>
    </row>
    <row r="15" spans="1:10" x14ac:dyDescent="0.3">
      <c r="A15" s="4" t="s">
        <v>5</v>
      </c>
      <c r="B15" s="7">
        <f>B14*B11</f>
        <v>22.435393258426966</v>
      </c>
      <c r="C15" s="7">
        <f t="shared" ref="C15:E15" si="3">C14*C11</f>
        <v>31.794943820224717</v>
      </c>
      <c r="D15" s="7">
        <f t="shared" si="3"/>
        <v>26.564606741573037</v>
      </c>
      <c r="E15" s="7">
        <f t="shared" si="3"/>
        <v>17.205056179775283</v>
      </c>
      <c r="G15" t="s">
        <v>46</v>
      </c>
    </row>
    <row r="16" spans="1:10" x14ac:dyDescent="0.3">
      <c r="A16" s="6">
        <v>2008</v>
      </c>
      <c r="B16" s="6">
        <f>F16/4</f>
        <v>25</v>
      </c>
      <c r="C16" s="6">
        <v>25</v>
      </c>
      <c r="D16" s="6">
        <v>25</v>
      </c>
      <c r="E16" s="6">
        <v>25</v>
      </c>
      <c r="F16" s="4">
        <v>100</v>
      </c>
      <c r="G16" s="4" t="s">
        <v>48</v>
      </c>
    </row>
    <row r="17" spans="1:7" x14ac:dyDescent="0.3">
      <c r="A17" s="4" t="s">
        <v>49</v>
      </c>
      <c r="B17" s="8">
        <f>B16*B11</f>
        <v>22.893258426966291</v>
      </c>
      <c r="C17" s="8">
        <f t="shared" ref="C17:E17" si="4">C16*C11</f>
        <v>32.443820224719097</v>
      </c>
      <c r="D17" s="8">
        <f t="shared" si="4"/>
        <v>27.106741573033709</v>
      </c>
      <c r="E17" s="8">
        <f t="shared" si="4"/>
        <v>17.556179775280899</v>
      </c>
      <c r="G17" t="s">
        <v>46</v>
      </c>
    </row>
    <row r="20" spans="1:7" x14ac:dyDescent="0.3">
      <c r="G20" t="s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5074-BF7D-45FA-98B5-E0C3901A07B6}">
  <dimension ref="A1:P23"/>
  <sheetViews>
    <sheetView workbookViewId="0">
      <selection activeCell="D21" sqref="D21"/>
    </sheetView>
  </sheetViews>
  <sheetFormatPr defaultRowHeight="14.4" x14ac:dyDescent="0.3"/>
  <sheetData>
    <row r="1" spans="1:13" x14ac:dyDescent="0.3">
      <c r="B1" t="s">
        <v>15</v>
      </c>
      <c r="C1" t="s">
        <v>16</v>
      </c>
    </row>
    <row r="2" spans="1:13" x14ac:dyDescent="0.3">
      <c r="B2">
        <v>1</v>
      </c>
      <c r="C2">
        <v>82</v>
      </c>
    </row>
    <row r="3" spans="1:13" x14ac:dyDescent="0.3">
      <c r="B3">
        <v>2</v>
      </c>
      <c r="C3">
        <v>80</v>
      </c>
    </row>
    <row r="4" spans="1:13" x14ac:dyDescent="0.3">
      <c r="B4">
        <v>3</v>
      </c>
      <c r="C4">
        <v>90</v>
      </c>
    </row>
    <row r="5" spans="1:13" x14ac:dyDescent="0.3">
      <c r="B5">
        <v>4</v>
      </c>
      <c r="C5">
        <v>92</v>
      </c>
    </row>
    <row r="6" spans="1:13" x14ac:dyDescent="0.3">
      <c r="B6">
        <v>5</v>
      </c>
      <c r="C6">
        <v>83</v>
      </c>
      <c r="H6" t="s">
        <v>17</v>
      </c>
      <c r="K6" s="4" t="s">
        <v>41</v>
      </c>
    </row>
    <row r="7" spans="1:13" ht="15" thickBot="1" x14ac:dyDescent="0.35">
      <c r="B7">
        <v>6</v>
      </c>
      <c r="C7">
        <v>94</v>
      </c>
      <c r="K7" s="4" t="s">
        <v>42</v>
      </c>
    </row>
    <row r="8" spans="1:13" x14ac:dyDescent="0.3">
      <c r="B8">
        <v>7</v>
      </c>
      <c r="C8">
        <v>99</v>
      </c>
      <c r="H8" s="3" t="s">
        <v>18</v>
      </c>
      <c r="I8" s="3"/>
    </row>
    <row r="9" spans="1:13" x14ac:dyDescent="0.3">
      <c r="B9">
        <v>8</v>
      </c>
      <c r="C9">
        <v>92</v>
      </c>
      <c r="H9" t="s">
        <v>19</v>
      </c>
      <c r="I9">
        <v>0.7361626748694664</v>
      </c>
    </row>
    <row r="10" spans="1:13" x14ac:dyDescent="0.3">
      <c r="A10" s="6">
        <v>2007</v>
      </c>
      <c r="B10" s="6">
        <v>9</v>
      </c>
      <c r="C10" s="6">
        <f>I23*B10+I22</f>
        <v>98</v>
      </c>
      <c r="D10" s="4" t="s">
        <v>41</v>
      </c>
      <c r="H10" t="s">
        <v>20</v>
      </c>
      <c r="I10">
        <v>0.54193548387096768</v>
      </c>
    </row>
    <row r="11" spans="1:13" x14ac:dyDescent="0.3">
      <c r="A11" s="6">
        <v>2008</v>
      </c>
      <c r="B11" s="6">
        <v>10</v>
      </c>
      <c r="C11" s="6">
        <f>I23*B11+I22</f>
        <v>100</v>
      </c>
      <c r="D11" s="4" t="s">
        <v>42</v>
      </c>
      <c r="H11" t="s">
        <v>21</v>
      </c>
      <c r="I11">
        <v>0.4655913978494623</v>
      </c>
    </row>
    <row r="12" spans="1:13" x14ac:dyDescent="0.3">
      <c r="H12" t="s">
        <v>22</v>
      </c>
      <c r="I12">
        <v>4.8648398397754749</v>
      </c>
    </row>
    <row r="13" spans="1:13" ht="15" thickBot="1" x14ac:dyDescent="0.35">
      <c r="H13" s="1" t="s">
        <v>23</v>
      </c>
      <c r="I13" s="1">
        <v>8</v>
      </c>
    </row>
    <row r="15" spans="1:13" ht="15" thickBot="1" x14ac:dyDescent="0.35">
      <c r="H15" t="s">
        <v>24</v>
      </c>
    </row>
    <row r="16" spans="1:13" x14ac:dyDescent="0.3">
      <c r="H16" s="2"/>
      <c r="I16" s="2" t="s">
        <v>29</v>
      </c>
      <c r="J16" s="2" t="s">
        <v>30</v>
      </c>
      <c r="K16" s="2" t="s">
        <v>31</v>
      </c>
      <c r="L16" s="2" t="s">
        <v>32</v>
      </c>
      <c r="M16" s="2" t="s">
        <v>33</v>
      </c>
    </row>
    <row r="17" spans="8:16" x14ac:dyDescent="0.3">
      <c r="H17" t="s">
        <v>25</v>
      </c>
      <c r="I17">
        <v>1</v>
      </c>
      <c r="J17">
        <v>167.99999999999997</v>
      </c>
      <c r="K17">
        <v>167.99999999999997</v>
      </c>
      <c r="L17">
        <v>7.0985915492957723</v>
      </c>
      <c r="M17">
        <v>3.7308349689301287E-2</v>
      </c>
    </row>
    <row r="18" spans="8:16" x14ac:dyDescent="0.3">
      <c r="H18" t="s">
        <v>26</v>
      </c>
      <c r="I18">
        <v>6</v>
      </c>
      <c r="J18">
        <v>142.00000000000003</v>
      </c>
      <c r="K18">
        <v>23.666666666666671</v>
      </c>
    </row>
    <row r="19" spans="8:16" ht="15" thickBot="1" x14ac:dyDescent="0.35">
      <c r="H19" s="1" t="s">
        <v>27</v>
      </c>
      <c r="I19" s="1">
        <v>7</v>
      </c>
      <c r="J19" s="1">
        <v>310</v>
      </c>
      <c r="K19" s="1"/>
      <c r="L19" s="1"/>
      <c r="M19" s="1"/>
    </row>
    <row r="20" spans="8:16" ht="15" thickBot="1" x14ac:dyDescent="0.35"/>
    <row r="21" spans="8:16" x14ac:dyDescent="0.3">
      <c r="H21" s="2"/>
      <c r="I21" s="2" t="s">
        <v>34</v>
      </c>
      <c r="J21" s="2" t="s">
        <v>22</v>
      </c>
      <c r="K21" s="2" t="s">
        <v>35</v>
      </c>
      <c r="L21" s="2" t="s">
        <v>36</v>
      </c>
      <c r="M21" s="2" t="s">
        <v>37</v>
      </c>
      <c r="N21" s="2" t="s">
        <v>38</v>
      </c>
      <c r="O21" s="2" t="s">
        <v>39</v>
      </c>
      <c r="P21" s="2" t="s">
        <v>40</v>
      </c>
    </row>
    <row r="22" spans="8:16" x14ac:dyDescent="0.3">
      <c r="H22" t="s">
        <v>28</v>
      </c>
      <c r="I22" s="4">
        <v>80</v>
      </c>
      <c r="J22">
        <v>3.7906526639943712</v>
      </c>
      <c r="K22">
        <v>21.104545072114473</v>
      </c>
      <c r="L22">
        <v>7.3754842127947315E-7</v>
      </c>
      <c r="M22">
        <v>70.724607072897925</v>
      </c>
      <c r="N22">
        <v>89.275392927102075</v>
      </c>
      <c r="O22">
        <v>70.724607072897925</v>
      </c>
      <c r="P22">
        <v>89.275392927102075</v>
      </c>
    </row>
    <row r="23" spans="8:16" ht="15" thickBot="1" x14ac:dyDescent="0.35">
      <c r="H23" s="1" t="s">
        <v>15</v>
      </c>
      <c r="I23" s="5">
        <v>2.0000000000000009</v>
      </c>
      <c r="J23" s="1">
        <v>0.75066108430640233</v>
      </c>
      <c r="K23" s="1">
        <v>2.6643182147213156</v>
      </c>
      <c r="L23" s="1">
        <v>3.7308349689301197E-2</v>
      </c>
      <c r="M23" s="1">
        <v>0.16319849661733188</v>
      </c>
      <c r="N23" s="1">
        <v>3.8368015033826701</v>
      </c>
      <c r="O23" s="1">
        <v>0.16319849661733188</v>
      </c>
      <c r="P23" s="1">
        <v>3.8368015033826701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4D13F-9632-48F7-9694-573129E5DE68}">
  <dimension ref="A2:R34"/>
  <sheetViews>
    <sheetView topLeftCell="A12" workbookViewId="0">
      <selection activeCell="O30" sqref="O30"/>
    </sheetView>
  </sheetViews>
  <sheetFormatPr defaultRowHeight="14.4" x14ac:dyDescent="0.3"/>
  <cols>
    <col min="6" max="6" width="12.88671875" bestFit="1" customWidth="1"/>
  </cols>
  <sheetData>
    <row r="2" spans="1:11" x14ac:dyDescent="0.3">
      <c r="B2" t="s">
        <v>51</v>
      </c>
      <c r="C2" t="s">
        <v>52</v>
      </c>
      <c r="D2" t="s">
        <v>53</v>
      </c>
      <c r="E2" t="s">
        <v>54</v>
      </c>
    </row>
    <row r="3" spans="1:11" x14ac:dyDescent="0.3">
      <c r="B3">
        <v>1</v>
      </c>
      <c r="C3">
        <v>53</v>
      </c>
      <c r="D3">
        <v>58</v>
      </c>
      <c r="E3">
        <v>62</v>
      </c>
    </row>
    <row r="4" spans="1:11" x14ac:dyDescent="0.3">
      <c r="B4">
        <v>2</v>
      </c>
      <c r="C4">
        <v>22</v>
      </c>
      <c r="D4">
        <v>25</v>
      </c>
      <c r="E4">
        <v>27</v>
      </c>
    </row>
    <row r="5" spans="1:11" x14ac:dyDescent="0.3">
      <c r="B5">
        <v>3</v>
      </c>
      <c r="C5">
        <v>37</v>
      </c>
      <c r="D5">
        <v>40</v>
      </c>
      <c r="E5">
        <v>44</v>
      </c>
    </row>
    <row r="6" spans="1:11" x14ac:dyDescent="0.3">
      <c r="B6">
        <v>4</v>
      </c>
      <c r="C6">
        <v>45</v>
      </c>
      <c r="D6">
        <v>50</v>
      </c>
      <c r="E6">
        <v>56</v>
      </c>
    </row>
    <row r="8" spans="1:11" x14ac:dyDescent="0.3">
      <c r="A8" t="s">
        <v>55</v>
      </c>
      <c r="B8" t="s">
        <v>27</v>
      </c>
      <c r="C8">
        <f>SUM(C3:C6)</f>
        <v>157</v>
      </c>
      <c r="D8">
        <f t="shared" ref="D8:E8" si="0">SUM(D3:D6)</f>
        <v>173</v>
      </c>
      <c r="E8">
        <f t="shared" si="0"/>
        <v>189</v>
      </c>
      <c r="J8" t="s">
        <v>17</v>
      </c>
    </row>
    <row r="9" spans="1:11" ht="15" thickBot="1" x14ac:dyDescent="0.35"/>
    <row r="10" spans="1:11" x14ac:dyDescent="0.3">
      <c r="A10" t="s">
        <v>56</v>
      </c>
      <c r="J10" s="3" t="s">
        <v>18</v>
      </c>
      <c r="K10" s="3"/>
    </row>
    <row r="11" spans="1:11" x14ac:dyDescent="0.3">
      <c r="J11" t="s">
        <v>19</v>
      </c>
      <c r="K11">
        <v>1</v>
      </c>
    </row>
    <row r="12" spans="1:11" x14ac:dyDescent="0.3">
      <c r="A12" t="s">
        <v>57</v>
      </c>
      <c r="B12" t="s">
        <v>51</v>
      </c>
      <c r="C12" t="s">
        <v>52</v>
      </c>
      <c r="D12" t="s">
        <v>53</v>
      </c>
      <c r="E12" t="s">
        <v>54</v>
      </c>
      <c r="F12" s="8" t="s">
        <v>58</v>
      </c>
      <c r="J12" t="s">
        <v>20</v>
      </c>
      <c r="K12">
        <v>1</v>
      </c>
    </row>
    <row r="13" spans="1:11" x14ac:dyDescent="0.3">
      <c r="B13">
        <v>1</v>
      </c>
      <c r="C13">
        <f>C3/$C$17</f>
        <v>0.33757961783439489</v>
      </c>
      <c r="D13">
        <f>D3/$D$17</f>
        <v>0.33526011560693642</v>
      </c>
      <c r="E13">
        <f>E3/$E$17</f>
        <v>0.32804232804232802</v>
      </c>
      <c r="F13" s="8">
        <f>AVERAGE(C13:E13)</f>
        <v>0.33362735382788644</v>
      </c>
      <c r="J13" t="s">
        <v>21</v>
      </c>
      <c r="K13">
        <v>1</v>
      </c>
    </row>
    <row r="14" spans="1:11" x14ac:dyDescent="0.3">
      <c r="B14">
        <v>2</v>
      </c>
      <c r="C14">
        <f t="shared" ref="C14:C16" si="1">C4/$C$17</f>
        <v>0.14012738853503184</v>
      </c>
      <c r="D14">
        <f t="shared" ref="D14:D16" si="2">D4/$D$17</f>
        <v>0.14450867052023122</v>
      </c>
      <c r="E14">
        <f t="shared" ref="E14:E16" si="3">E4/$E$17</f>
        <v>0.14285714285714285</v>
      </c>
      <c r="F14" s="8">
        <f t="shared" ref="F14:F16" si="4">AVERAGE(C14:E14)</f>
        <v>0.14249773397080198</v>
      </c>
      <c r="J14" t="s">
        <v>22</v>
      </c>
      <c r="K14">
        <v>0</v>
      </c>
    </row>
    <row r="15" spans="1:11" ht="15" thickBot="1" x14ac:dyDescent="0.35">
      <c r="B15">
        <v>3</v>
      </c>
      <c r="C15">
        <f t="shared" si="1"/>
        <v>0.2356687898089172</v>
      </c>
      <c r="D15">
        <f t="shared" si="2"/>
        <v>0.23121387283236994</v>
      </c>
      <c r="E15">
        <f t="shared" si="3"/>
        <v>0.23280423280423279</v>
      </c>
      <c r="F15" s="8">
        <f t="shared" si="4"/>
        <v>0.23322896514850666</v>
      </c>
      <c r="J15" s="1" t="s">
        <v>23</v>
      </c>
      <c r="K15" s="1">
        <v>3</v>
      </c>
    </row>
    <row r="16" spans="1:11" x14ac:dyDescent="0.3">
      <c r="B16">
        <v>4</v>
      </c>
      <c r="C16">
        <f t="shared" si="1"/>
        <v>0.28662420382165604</v>
      </c>
      <c r="D16">
        <f t="shared" si="2"/>
        <v>0.28901734104046245</v>
      </c>
      <c r="E16">
        <f t="shared" si="3"/>
        <v>0.29629629629629628</v>
      </c>
      <c r="F16" s="8">
        <f t="shared" si="4"/>
        <v>0.29064594705280494</v>
      </c>
    </row>
    <row r="17" spans="1:18" ht="15" thickBot="1" x14ac:dyDescent="0.35">
      <c r="C17" s="8">
        <v>157</v>
      </c>
      <c r="D17" s="8">
        <v>173</v>
      </c>
      <c r="E17" s="8">
        <v>189</v>
      </c>
      <c r="J17" t="s">
        <v>24</v>
      </c>
    </row>
    <row r="18" spans="1:18" x14ac:dyDescent="0.3">
      <c r="J18" s="2"/>
      <c r="K18" s="2" t="s">
        <v>29</v>
      </c>
      <c r="L18" s="2" t="s">
        <v>30</v>
      </c>
      <c r="M18" s="2" t="s">
        <v>31</v>
      </c>
      <c r="N18" s="2" t="s">
        <v>32</v>
      </c>
      <c r="O18" s="2" t="s">
        <v>33</v>
      </c>
    </row>
    <row r="19" spans="1:18" x14ac:dyDescent="0.3">
      <c r="A19" t="s">
        <v>59</v>
      </c>
      <c r="D19" t="s">
        <v>25</v>
      </c>
      <c r="J19" t="s">
        <v>25</v>
      </c>
      <c r="K19">
        <v>1</v>
      </c>
      <c r="L19">
        <v>512</v>
      </c>
      <c r="M19">
        <v>512</v>
      </c>
      <c r="N19" t="e">
        <v>#NUM!</v>
      </c>
      <c r="O19" t="e">
        <v>#NUM!</v>
      </c>
    </row>
    <row r="20" spans="1:18" x14ac:dyDescent="0.3">
      <c r="D20" t="s">
        <v>60</v>
      </c>
      <c r="E20" t="s">
        <v>61</v>
      </c>
      <c r="J20" t="s">
        <v>26</v>
      </c>
      <c r="K20">
        <v>1</v>
      </c>
      <c r="L20">
        <v>0</v>
      </c>
      <c r="M20">
        <v>0</v>
      </c>
    </row>
    <row r="21" spans="1:18" ht="15" thickBot="1" x14ac:dyDescent="0.35">
      <c r="D21">
        <v>1</v>
      </c>
      <c r="E21">
        <v>157</v>
      </c>
      <c r="J21" s="1" t="s">
        <v>27</v>
      </c>
      <c r="K21" s="1">
        <v>2</v>
      </c>
      <c r="L21" s="1">
        <v>512</v>
      </c>
      <c r="M21" s="1"/>
      <c r="N21" s="1"/>
      <c r="O21" s="1"/>
    </row>
    <row r="22" spans="1:18" ht="15" thickBot="1" x14ac:dyDescent="0.35">
      <c r="D22">
        <v>2</v>
      </c>
      <c r="E22">
        <v>173</v>
      </c>
    </row>
    <row r="23" spans="1:18" x14ac:dyDescent="0.3">
      <c r="D23">
        <v>3</v>
      </c>
      <c r="E23">
        <v>189</v>
      </c>
      <c r="J23" s="2"/>
      <c r="K23" s="2" t="s">
        <v>34</v>
      </c>
      <c r="L23" s="2" t="s">
        <v>22</v>
      </c>
      <c r="M23" s="2" t="s">
        <v>35</v>
      </c>
      <c r="N23" s="2" t="s">
        <v>36</v>
      </c>
      <c r="O23" s="2" t="s">
        <v>37</v>
      </c>
      <c r="P23" s="2" t="s">
        <v>38</v>
      </c>
      <c r="Q23" s="2" t="s">
        <v>39</v>
      </c>
      <c r="R23" s="2" t="s">
        <v>40</v>
      </c>
    </row>
    <row r="24" spans="1:18" x14ac:dyDescent="0.3">
      <c r="D24" s="4">
        <v>4</v>
      </c>
      <c r="E24" s="4">
        <f>K25*D24+K24</f>
        <v>205</v>
      </c>
      <c r="F24" t="s">
        <v>41</v>
      </c>
      <c r="J24" t="s">
        <v>28</v>
      </c>
      <c r="K24" s="4">
        <v>141</v>
      </c>
      <c r="L24">
        <v>0</v>
      </c>
      <c r="M24">
        <v>65535</v>
      </c>
      <c r="N24" t="e">
        <v>#NUM!</v>
      </c>
      <c r="O24">
        <v>141</v>
      </c>
      <c r="P24">
        <v>141</v>
      </c>
      <c r="Q24">
        <v>141</v>
      </c>
      <c r="R24">
        <v>141</v>
      </c>
    </row>
    <row r="25" spans="1:18" ht="15" thickBot="1" x14ac:dyDescent="0.35">
      <c r="J25" s="1" t="s">
        <v>60</v>
      </c>
      <c r="K25" s="5">
        <v>16</v>
      </c>
      <c r="L25" s="1">
        <v>0</v>
      </c>
      <c r="M25" s="1">
        <v>65535</v>
      </c>
      <c r="N25" s="1" t="e">
        <v>#NUM!</v>
      </c>
      <c r="O25" s="1">
        <v>16</v>
      </c>
      <c r="P25" s="1">
        <v>16</v>
      </c>
      <c r="Q25" s="1">
        <v>16</v>
      </c>
      <c r="R25" s="1">
        <v>16</v>
      </c>
    </row>
    <row r="28" spans="1:18" x14ac:dyDescent="0.3">
      <c r="F28" t="s">
        <v>64</v>
      </c>
    </row>
    <row r="29" spans="1:18" x14ac:dyDescent="0.3">
      <c r="A29" t="s">
        <v>62</v>
      </c>
      <c r="B29" t="s">
        <v>51</v>
      </c>
      <c r="C29" t="s">
        <v>52</v>
      </c>
      <c r="D29" t="s">
        <v>53</v>
      </c>
      <c r="E29" t="s">
        <v>54</v>
      </c>
      <c r="F29" s="8" t="s">
        <v>58</v>
      </c>
      <c r="G29" s="4" t="s">
        <v>63</v>
      </c>
    </row>
    <row r="30" spans="1:18" x14ac:dyDescent="0.3">
      <c r="B30">
        <v>1</v>
      </c>
      <c r="C30">
        <f>C3/$C$8</f>
        <v>0.33757961783439489</v>
      </c>
      <c r="D30">
        <f>D3/$D$8</f>
        <v>0.33526011560693642</v>
      </c>
      <c r="E30">
        <f>E3/$E$8</f>
        <v>0.32804232804232802</v>
      </c>
      <c r="F30" s="8">
        <f>AVERAGE(C30:E30)</f>
        <v>0.33362735382788644</v>
      </c>
      <c r="G30" s="4">
        <f>F30*$F$34</f>
        <v>68.393607534716722</v>
      </c>
    </row>
    <row r="31" spans="1:18" x14ac:dyDescent="0.3">
      <c r="B31">
        <v>2</v>
      </c>
      <c r="C31">
        <f t="shared" ref="C31:C33" si="5">C4/$C$8</f>
        <v>0.14012738853503184</v>
      </c>
      <c r="D31">
        <f t="shared" ref="D31:D33" si="6">D4/$D$8</f>
        <v>0.14450867052023122</v>
      </c>
      <c r="E31">
        <f t="shared" ref="E31:E33" si="7">E4/$E$8</f>
        <v>0.14285714285714285</v>
      </c>
      <c r="F31" s="8">
        <f t="shared" ref="F31:F33" si="8">AVERAGE(C31:E31)</f>
        <v>0.14249773397080198</v>
      </c>
      <c r="G31" s="4">
        <f t="shared" ref="G31:G33" si="9">F31*$F$34</f>
        <v>29.212035464014406</v>
      </c>
    </row>
    <row r="32" spans="1:18" x14ac:dyDescent="0.3">
      <c r="B32">
        <v>3</v>
      </c>
      <c r="C32">
        <f t="shared" si="5"/>
        <v>0.2356687898089172</v>
      </c>
      <c r="D32">
        <f t="shared" si="6"/>
        <v>0.23121387283236994</v>
      </c>
      <c r="E32">
        <f t="shared" si="7"/>
        <v>0.23280423280423279</v>
      </c>
      <c r="F32" s="8">
        <f t="shared" si="8"/>
        <v>0.23322896514850666</v>
      </c>
      <c r="G32" s="4">
        <f t="shared" si="9"/>
        <v>47.811937855443865</v>
      </c>
    </row>
    <row r="33" spans="2:7" x14ac:dyDescent="0.3">
      <c r="B33">
        <v>4</v>
      </c>
      <c r="C33">
        <f t="shared" si="5"/>
        <v>0.28662420382165604</v>
      </c>
      <c r="D33">
        <f t="shared" si="6"/>
        <v>0.28901734104046245</v>
      </c>
      <c r="E33">
        <f t="shared" si="7"/>
        <v>0.29629629629629628</v>
      </c>
      <c r="F33" s="8">
        <f t="shared" si="8"/>
        <v>0.29064594705280494</v>
      </c>
      <c r="G33" s="4">
        <f t="shared" si="9"/>
        <v>59.582419145825014</v>
      </c>
    </row>
    <row r="34" spans="2:7" x14ac:dyDescent="0.3">
      <c r="C34" s="8">
        <v>157</v>
      </c>
      <c r="D34" s="8">
        <v>173</v>
      </c>
      <c r="E34" s="8">
        <v>189</v>
      </c>
      <c r="F34" s="4">
        <f>K25*D24+K24</f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1E595-A2E9-444D-9F26-E167B3DA87BC}">
  <dimension ref="A1:N21"/>
  <sheetViews>
    <sheetView topLeftCell="A2" workbookViewId="0">
      <selection activeCell="M22" sqref="M22"/>
    </sheetView>
  </sheetViews>
  <sheetFormatPr defaultRowHeight="14.4" x14ac:dyDescent="0.3"/>
  <sheetData>
    <row r="1" spans="1:14" x14ac:dyDescent="0.3">
      <c r="A1" t="s">
        <v>0</v>
      </c>
      <c r="B1" t="s">
        <v>65</v>
      </c>
      <c r="C1" t="s">
        <v>66</v>
      </c>
      <c r="D1" t="s">
        <v>67</v>
      </c>
      <c r="E1" t="s">
        <v>68</v>
      </c>
      <c r="F1" t="s">
        <v>58</v>
      </c>
      <c r="G1" t="s">
        <v>69</v>
      </c>
      <c r="H1" t="s">
        <v>70</v>
      </c>
      <c r="I1" t="s">
        <v>71</v>
      </c>
      <c r="J1" t="s">
        <v>72</v>
      </c>
    </row>
    <row r="2" spans="1:14" x14ac:dyDescent="0.3">
      <c r="A2" s="10"/>
      <c r="B2" s="10">
        <v>1</v>
      </c>
      <c r="C2" s="10">
        <v>108</v>
      </c>
      <c r="F2">
        <f>C2/AVERAGE($C$2:$C$5)</f>
        <v>0.82442748091603058</v>
      </c>
    </row>
    <row r="3" spans="1:14" x14ac:dyDescent="0.3">
      <c r="A3" s="10"/>
      <c r="B3" s="10">
        <f>B2+1</f>
        <v>2</v>
      </c>
      <c r="C3" s="10">
        <v>125</v>
      </c>
      <c r="F3">
        <f t="shared" ref="F3:F5" si="0">C3/AVERAGE($C$2:$C$5)</f>
        <v>0.95419847328244278</v>
      </c>
      <c r="M3" t="s">
        <v>76</v>
      </c>
      <c r="N3">
        <v>0.81570090004656659</v>
      </c>
    </row>
    <row r="4" spans="1:14" x14ac:dyDescent="0.3">
      <c r="A4" s="10">
        <v>1</v>
      </c>
      <c r="B4" s="10">
        <f t="shared" ref="B4:B16" si="1">B3+1</f>
        <v>3</v>
      </c>
      <c r="C4" s="10">
        <v>150</v>
      </c>
      <c r="F4">
        <f t="shared" si="0"/>
        <v>1.1450381679389312</v>
      </c>
      <c r="M4" t="s">
        <v>77</v>
      </c>
      <c r="N4">
        <v>0.73204181727729456</v>
      </c>
    </row>
    <row r="5" spans="1:14" x14ac:dyDescent="0.3">
      <c r="A5" s="10"/>
      <c r="B5" s="10">
        <f t="shared" si="1"/>
        <v>4</v>
      </c>
      <c r="C5" s="10">
        <v>141</v>
      </c>
      <c r="D5">
        <f>C5/F5</f>
        <v>131</v>
      </c>
      <c r="F5">
        <f t="shared" si="0"/>
        <v>1.0763358778625953</v>
      </c>
      <c r="M5" t="s">
        <v>78</v>
      </c>
      <c r="N5">
        <v>0.77937897868034245</v>
      </c>
    </row>
    <row r="6" spans="1:14" x14ac:dyDescent="0.3">
      <c r="A6" s="6"/>
      <c r="B6" s="6">
        <f t="shared" si="1"/>
        <v>5</v>
      </c>
      <c r="C6" s="6">
        <v>116</v>
      </c>
      <c r="D6" s="11">
        <f>C6/F2</f>
        <v>140.7037037037037</v>
      </c>
      <c r="E6" s="11">
        <f>D6-C5/F5</f>
        <v>9.7037037037036953</v>
      </c>
      <c r="F6" s="11">
        <f>$N$5*(C6/D6)+(1-$N$5)*F2</f>
        <v>0.82442748091603058</v>
      </c>
      <c r="G6" s="11">
        <f>(D6+E6)*F2</f>
        <v>123.99999999999999</v>
      </c>
    </row>
    <row r="7" spans="1:14" x14ac:dyDescent="0.3">
      <c r="A7" s="6">
        <v>2</v>
      </c>
      <c r="B7" s="6">
        <f t="shared" si="1"/>
        <v>6</v>
      </c>
      <c r="C7" s="6">
        <v>134</v>
      </c>
      <c r="D7">
        <f>$N$3*(C7/F3)+(1-$N$3)*(D6+E6)</f>
        <v>142.27045860685399</v>
      </c>
      <c r="E7">
        <f>$N$4*(D7-D6)+(1-$N$4)*E6</f>
        <v>3.7471169166542833</v>
      </c>
      <c r="F7">
        <f>$N$5*(C7/D7)+(1-$N$5)*F3</f>
        <v>0.94458840375167941</v>
      </c>
      <c r="G7">
        <f>(D7+E7)*F7</f>
        <v>137.92650858344098</v>
      </c>
      <c r="H7">
        <f>C7-G7</f>
        <v>-3.9265085834409774</v>
      </c>
      <c r="I7">
        <f>ABS(H7)</f>
        <v>3.9265085834409774</v>
      </c>
      <c r="J7">
        <f>I7^2</f>
        <v>15.417469655835671</v>
      </c>
    </row>
    <row r="8" spans="1:14" x14ac:dyDescent="0.3">
      <c r="A8" s="6"/>
      <c r="B8" s="6">
        <f t="shared" si="1"/>
        <v>7</v>
      </c>
      <c r="C8" s="6">
        <v>159</v>
      </c>
      <c r="D8">
        <f t="shared" ref="D8:D13" si="2">$N$3*(C8/F4)+(1-$N$3)*(D7+E7)</f>
        <v>140.17913472683131</v>
      </c>
      <c r="E8">
        <f t="shared" ref="E8:E13" si="3">$N$4*(D8-D7)+(1-$N$4)*E7</f>
        <v>-0.52686589421102004</v>
      </c>
      <c r="F8">
        <f t="shared" ref="F8:F13" si="4">$N$5*(C8/D8)+(1-$N$5)*F4</f>
        <v>1.136640195793104</v>
      </c>
      <c r="G8">
        <f t="shared" ref="G8:G13" si="5">(D8+E8)*F8</f>
        <v>158.73438218886071</v>
      </c>
      <c r="H8">
        <f t="shared" ref="H8:H13" si="6">C8-G8</f>
        <v>0.26561781113929328</v>
      </c>
      <c r="I8">
        <f t="shared" ref="I8:I13" si="7">ABS(H8)</f>
        <v>0.26561781113929328</v>
      </c>
      <c r="J8">
        <f t="shared" ref="J8:J13" si="8">I8^2</f>
        <v>7.0552821594429271E-2</v>
      </c>
    </row>
    <row r="9" spans="1:14" x14ac:dyDescent="0.3">
      <c r="A9" s="6"/>
      <c r="B9" s="6">
        <f t="shared" si="1"/>
        <v>8</v>
      </c>
      <c r="C9" s="6">
        <v>152</v>
      </c>
      <c r="D9">
        <f t="shared" si="2"/>
        <v>140.93095285462766</v>
      </c>
      <c r="E9">
        <f t="shared" si="3"/>
        <v>0.40918428098269888</v>
      </c>
      <c r="F9">
        <f t="shared" si="4"/>
        <v>1.078055549893278</v>
      </c>
      <c r="G9">
        <f t="shared" si="5"/>
        <v>152.37251926172175</v>
      </c>
      <c r="H9">
        <f t="shared" si="6"/>
        <v>-0.37251926172174876</v>
      </c>
      <c r="I9">
        <f t="shared" si="7"/>
        <v>0.37251926172174876</v>
      </c>
      <c r="J9">
        <f t="shared" si="8"/>
        <v>0.13877060035371674</v>
      </c>
    </row>
    <row r="10" spans="1:14" x14ac:dyDescent="0.3">
      <c r="A10" s="4"/>
      <c r="B10" s="4">
        <f t="shared" si="1"/>
        <v>9</v>
      </c>
      <c r="C10" s="4">
        <v>123</v>
      </c>
      <c r="D10">
        <f t="shared" si="2"/>
        <v>147.74690267666864</v>
      </c>
      <c r="E10">
        <f t="shared" si="3"/>
        <v>5.09920457052855</v>
      </c>
      <c r="F10">
        <f t="shared" si="4"/>
        <v>0.83072274373888177</v>
      </c>
      <c r="G10">
        <f t="shared" si="5"/>
        <v>126.97273758219903</v>
      </c>
      <c r="H10">
        <f t="shared" si="6"/>
        <v>-3.9727375821990307</v>
      </c>
      <c r="I10">
        <f t="shared" si="7"/>
        <v>3.9727375821990307</v>
      </c>
      <c r="J10">
        <f t="shared" si="8"/>
        <v>15.7826438970166</v>
      </c>
    </row>
    <row r="11" spans="1:14" x14ac:dyDescent="0.3">
      <c r="A11" s="4">
        <v>3</v>
      </c>
      <c r="B11" s="4">
        <f>B10+1</f>
        <v>10</v>
      </c>
      <c r="C11" s="4">
        <v>142</v>
      </c>
      <c r="D11">
        <f t="shared" si="2"/>
        <v>150.79373811782298</v>
      </c>
      <c r="E11">
        <f t="shared" si="3"/>
        <v>3.5967845433376366</v>
      </c>
      <c r="F11">
        <f t="shared" si="4"/>
        <v>0.94232451158593555</v>
      </c>
      <c r="G11">
        <f t="shared" si="5"/>
        <v>145.48597386017551</v>
      </c>
      <c r="H11">
        <f t="shared" si="6"/>
        <v>-3.4859738601755055</v>
      </c>
      <c r="I11">
        <f t="shared" si="7"/>
        <v>3.4859738601755055</v>
      </c>
      <c r="J11">
        <f t="shared" si="8"/>
        <v>12.152013753826914</v>
      </c>
    </row>
    <row r="12" spans="1:14" x14ac:dyDescent="0.3">
      <c r="A12" s="4"/>
      <c r="B12" s="4">
        <f t="shared" si="1"/>
        <v>11</v>
      </c>
      <c r="C12" s="4">
        <v>168</v>
      </c>
      <c r="D12">
        <f t="shared" si="2"/>
        <v>149.01791352235909</v>
      </c>
      <c r="E12">
        <f t="shared" si="3"/>
        <v>-0.33619001415123206</v>
      </c>
      <c r="F12">
        <f t="shared" si="4"/>
        <v>1.1294239596084836</v>
      </c>
      <c r="G12">
        <f t="shared" si="5"/>
        <v>167.92470088605387</v>
      </c>
      <c r="H12">
        <f t="shared" si="6"/>
        <v>7.5299113946130092E-2</v>
      </c>
      <c r="I12">
        <f t="shared" si="7"/>
        <v>7.5299113946130092E-2</v>
      </c>
      <c r="J12">
        <f t="shared" si="8"/>
        <v>5.6699565610722836E-3</v>
      </c>
    </row>
    <row r="13" spans="1:14" x14ac:dyDescent="0.3">
      <c r="A13" s="4"/>
      <c r="B13" s="4">
        <f t="shared" si="1"/>
        <v>12</v>
      </c>
      <c r="C13" s="4">
        <v>165</v>
      </c>
      <c r="D13">
        <f t="shared" si="2"/>
        <v>152.24765303531677</v>
      </c>
      <c r="E13">
        <f t="shared" si="3"/>
        <v>2.2742195171563386</v>
      </c>
      <c r="F13">
        <f t="shared" si="4"/>
        <v>1.0825019060783949</v>
      </c>
      <c r="G13">
        <f t="shared" si="5"/>
        <v>167.27022156885494</v>
      </c>
      <c r="H13">
        <f t="shared" si="6"/>
        <v>-2.2702215688549359</v>
      </c>
      <c r="I13">
        <f t="shared" si="7"/>
        <v>2.2702215688549359</v>
      </c>
      <c r="J13">
        <f t="shared" si="8"/>
        <v>5.153905971694166</v>
      </c>
    </row>
    <row r="14" spans="1:14" x14ac:dyDescent="0.3">
      <c r="A14" s="9"/>
      <c r="B14" s="9">
        <f>B13+1</f>
        <v>13</v>
      </c>
      <c r="C14" s="9"/>
      <c r="F14">
        <v>1</v>
      </c>
      <c r="G14">
        <f>($D$13+1*$E$13)*F10</f>
        <v>128.36483393446025</v>
      </c>
    </row>
    <row r="15" spans="1:14" x14ac:dyDescent="0.3">
      <c r="A15" s="9">
        <v>4</v>
      </c>
      <c r="B15" s="9">
        <f t="shared" si="1"/>
        <v>14</v>
      </c>
      <c r="C15" s="9"/>
      <c r="F15">
        <v>2</v>
      </c>
      <c r="G15">
        <f>(D13+2*E13)*F11</f>
        <v>147.75280087809696</v>
      </c>
    </row>
    <row r="16" spans="1:14" x14ac:dyDescent="0.3">
      <c r="A16" s="9"/>
      <c r="B16" s="9">
        <f t="shared" si="1"/>
        <v>15</v>
      </c>
      <c r="C16" s="9"/>
      <c r="F16">
        <v>3</v>
      </c>
      <c r="G16">
        <f>(D13+3*E13)*F12</f>
        <v>179.65782116850284</v>
      </c>
    </row>
    <row r="17" spans="1:10" x14ac:dyDescent="0.3">
      <c r="A17" s="9"/>
      <c r="B17" s="9">
        <f>B16+1</f>
        <v>16</v>
      </c>
      <c r="C17" s="9"/>
      <c r="F17">
        <v>4</v>
      </c>
      <c r="G17">
        <f>(D13+4*E13)*F13</f>
        <v>174.65576245534223</v>
      </c>
    </row>
    <row r="18" spans="1:10" x14ac:dyDescent="0.3">
      <c r="I18" t="s">
        <v>73</v>
      </c>
      <c r="J18" t="s">
        <v>74</v>
      </c>
    </row>
    <row r="19" spans="1:10" x14ac:dyDescent="0.3">
      <c r="I19">
        <f>AVERAGE(I7:I13)</f>
        <v>2.0526968259253744</v>
      </c>
      <c r="J19">
        <f>AVERAGE(J7:J13)</f>
        <v>6.9601466652689377</v>
      </c>
    </row>
    <row r="20" spans="1:10" x14ac:dyDescent="0.3">
      <c r="J20" s="12" t="s">
        <v>75</v>
      </c>
    </row>
    <row r="21" spans="1:10" x14ac:dyDescent="0.3">
      <c r="J21" s="12">
        <f>SQRT(J19)</f>
        <v>2.6382089881715092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934E-65E9-4C86-9241-5DC3FBAA6544}">
  <dimension ref="A1:R42"/>
  <sheetViews>
    <sheetView tabSelected="1" topLeftCell="A5" workbookViewId="0">
      <selection activeCell="L23" sqref="L23"/>
    </sheetView>
  </sheetViews>
  <sheetFormatPr defaultRowHeight="14.4" x14ac:dyDescent="0.3"/>
  <cols>
    <col min="8" max="8" width="11.6640625" bestFit="1" customWidth="1"/>
    <col min="9" max="10" width="12.88671875" bestFit="1" customWidth="1"/>
    <col min="11" max="11" width="12" bestFit="1" customWidth="1"/>
    <col min="12" max="12" width="28.88671875" bestFit="1" customWidth="1"/>
    <col min="13" max="13" width="36.44140625" bestFit="1" customWidth="1"/>
    <col min="15" max="15" width="8.88671875" style="13"/>
  </cols>
  <sheetData>
    <row r="1" spans="1:18" x14ac:dyDescent="0.3">
      <c r="A1" t="s">
        <v>0</v>
      </c>
      <c r="B1" t="s">
        <v>65</v>
      </c>
      <c r="C1" t="s">
        <v>66</v>
      </c>
      <c r="F1" t="s">
        <v>79</v>
      </c>
      <c r="G1" t="s">
        <v>79</v>
      </c>
      <c r="H1" t="s">
        <v>80</v>
      </c>
      <c r="I1" t="s">
        <v>58</v>
      </c>
      <c r="J1" t="s">
        <v>58</v>
      </c>
      <c r="K1" t="s">
        <v>82</v>
      </c>
      <c r="L1" t="s">
        <v>83</v>
      </c>
      <c r="M1" t="s">
        <v>92</v>
      </c>
      <c r="O1" s="23" t="s">
        <v>25</v>
      </c>
      <c r="P1" s="15" t="s">
        <v>93</v>
      </c>
      <c r="Q1" t="s">
        <v>90</v>
      </c>
      <c r="R1" t="s">
        <v>91</v>
      </c>
    </row>
    <row r="2" spans="1:18" x14ac:dyDescent="0.3">
      <c r="A2">
        <v>1</v>
      </c>
      <c r="B2" s="4">
        <v>1</v>
      </c>
      <c r="C2" s="4">
        <v>108</v>
      </c>
      <c r="D2" s="4"/>
      <c r="E2" s="4"/>
      <c r="F2" s="4"/>
      <c r="K2" s="4">
        <v>0.84907050166146802</v>
      </c>
      <c r="L2" s="11">
        <f>C2/K2</f>
        <v>127.1979179451703</v>
      </c>
      <c r="O2" s="23">
        <f>$N$25*B2+$N$24</f>
        <v>127.11870715040118</v>
      </c>
      <c r="P2" s="15">
        <f>O2*K2</f>
        <v>107.93274445074837</v>
      </c>
      <c r="Q2">
        <f>C2-P2</f>
        <v>6.725554925162669E-2</v>
      </c>
      <c r="R2">
        <f>Q2^2</f>
        <v>4.523308905137983E-3</v>
      </c>
    </row>
    <row r="3" spans="1:18" x14ac:dyDescent="0.3">
      <c r="B3" s="4">
        <f>B2+1</f>
        <v>2</v>
      </c>
      <c r="C3" s="4">
        <v>125</v>
      </c>
      <c r="D3" s="4"/>
      <c r="E3" s="4"/>
      <c r="F3" s="4"/>
      <c r="K3" s="4">
        <v>0.96258349419050104</v>
      </c>
      <c r="L3" s="11">
        <f t="shared" ref="L3:L17" si="0">C3/K3</f>
        <v>129.85886497578127</v>
      </c>
      <c r="O3" s="23">
        <f>$N$25*B3+$N$24</f>
        <v>129.46213882457414</v>
      </c>
      <c r="P3" s="15">
        <f t="shared" ref="P3:P17" si="1">O3*K3</f>
        <v>124.6181179551343</v>
      </c>
      <c r="Q3">
        <f t="shared" ref="Q3:Q17" si="2">C3-P3</f>
        <v>0.38188204486570498</v>
      </c>
      <c r="R3">
        <f t="shared" ref="R3:R13" si="3">Q3^2</f>
        <v>0.1458338961908123</v>
      </c>
    </row>
    <row r="4" spans="1:18" x14ac:dyDescent="0.3">
      <c r="B4" s="12">
        <f t="shared" ref="B4:B17" si="4">B3+1</f>
        <v>3</v>
      </c>
      <c r="C4" s="4">
        <v>150</v>
      </c>
      <c r="D4" s="4">
        <f>AVERAGE(C2:C5)</f>
        <v>131</v>
      </c>
      <c r="E4" s="4"/>
      <c r="F4" s="4">
        <f>AVERAGE(D4,E5)</f>
        <v>132</v>
      </c>
      <c r="G4" s="12">
        <f>((0.5*C2)+C3+C4+C5+(0.5*C6))/4</f>
        <v>132</v>
      </c>
      <c r="H4" s="12">
        <f>C4/F4</f>
        <v>1.1363636363636365</v>
      </c>
      <c r="I4" s="16">
        <f>(H4+H8)/2</f>
        <v>1.1315121990498431</v>
      </c>
      <c r="J4" s="16">
        <f>(I4/$I$14)*4</f>
        <v>1.131437579688219</v>
      </c>
      <c r="K4" s="4">
        <v>1.1315121990498431</v>
      </c>
      <c r="L4" s="11">
        <f t="shared" si="0"/>
        <v>132.56595918803038</v>
      </c>
      <c r="O4" s="23">
        <f t="shared" ref="O4:O17" si="5">$N$25*B4+$N$24</f>
        <v>131.80557049874713</v>
      </c>
      <c r="P4" s="15">
        <f t="shared" si="1"/>
        <v>149.13961092205651</v>
      </c>
      <c r="Q4">
        <f t="shared" si="2"/>
        <v>0.86038907794349484</v>
      </c>
      <c r="R4">
        <f t="shared" si="3"/>
        <v>0.74026936544445721</v>
      </c>
    </row>
    <row r="5" spans="1:18" x14ac:dyDescent="0.3">
      <c r="B5" s="4">
        <f t="shared" si="4"/>
        <v>4</v>
      </c>
      <c r="C5" s="4">
        <v>141</v>
      </c>
      <c r="D5" s="4">
        <f t="shared" ref="D5:D12" si="6">AVERAGE(C3:C6)</f>
        <v>133</v>
      </c>
      <c r="E5" s="4">
        <f>AVERAGE(C3:C6)</f>
        <v>133</v>
      </c>
      <c r="F5" s="4">
        <f t="shared" ref="F5:F12" si="7">AVERAGE(D5,E6)</f>
        <v>134.125</v>
      </c>
      <c r="G5" s="13">
        <f t="shared" ref="G5:G11" si="8">((0.5*C3)+C4+C5+C6+(0.5*C7))/4</f>
        <v>134.125</v>
      </c>
      <c r="H5" s="13">
        <f t="shared" ref="H5:H11" si="9">C5/F5</f>
        <v>1.0512581547064306</v>
      </c>
      <c r="I5" s="16">
        <f t="shared" ref="I5:I7" si="10">(H5+H9)/2</f>
        <v>1.0570976088217467</v>
      </c>
      <c r="J5" s="16">
        <f t="shared" ref="J5:J7" si="11">(I5/$I$14)*4</f>
        <v>1.0570278968479732</v>
      </c>
      <c r="K5" s="4">
        <v>1.0570976088217467</v>
      </c>
      <c r="L5" s="11">
        <f t="shared" si="0"/>
        <v>133.38408754623921</v>
      </c>
      <c r="O5" s="23">
        <f t="shared" si="5"/>
        <v>134.14900217292009</v>
      </c>
      <c r="P5" s="15">
        <f t="shared" si="1"/>
        <v>141.80858942281714</v>
      </c>
      <c r="Q5">
        <f t="shared" si="2"/>
        <v>-0.80858942281713553</v>
      </c>
      <c r="R5">
        <f t="shared" si="3"/>
        <v>0.65381685469174833</v>
      </c>
    </row>
    <row r="6" spans="1:18" x14ac:dyDescent="0.3">
      <c r="A6">
        <v>2</v>
      </c>
      <c r="B6" s="7">
        <f t="shared" si="4"/>
        <v>5</v>
      </c>
      <c r="C6" s="7">
        <v>116</v>
      </c>
      <c r="D6" s="4">
        <f t="shared" si="6"/>
        <v>135.25</v>
      </c>
      <c r="E6" s="4">
        <f t="shared" ref="E6:E12" si="12">AVERAGE(C4:C7)</f>
        <v>135.25</v>
      </c>
      <c r="F6" s="4">
        <f t="shared" si="7"/>
        <v>136.375</v>
      </c>
      <c r="G6" s="13">
        <f t="shared" si="8"/>
        <v>136.375</v>
      </c>
      <c r="H6" s="13">
        <f t="shared" si="9"/>
        <v>0.85059578368469291</v>
      </c>
      <c r="I6" s="16">
        <f t="shared" si="10"/>
        <v>0.84907050166146791</v>
      </c>
      <c r="J6" s="16">
        <f t="shared" si="11"/>
        <v>0.84901450836430237</v>
      </c>
      <c r="K6" s="14">
        <v>0.84907050166146791</v>
      </c>
      <c r="L6" s="11">
        <f t="shared" si="0"/>
        <v>136.61998594110887</v>
      </c>
      <c r="O6" s="23">
        <f t="shared" si="5"/>
        <v>136.49243384709305</v>
      </c>
      <c r="P6" s="15">
        <f t="shared" si="1"/>
        <v>115.89169927954602</v>
      </c>
      <c r="Q6">
        <f t="shared" si="2"/>
        <v>0.10830072045398254</v>
      </c>
      <c r="R6">
        <f t="shared" si="3"/>
        <v>1.1729046050851672E-2</v>
      </c>
    </row>
    <row r="7" spans="1:18" x14ac:dyDescent="0.3">
      <c r="B7" s="7">
        <f t="shared" si="4"/>
        <v>6</v>
      </c>
      <c r="C7" s="7">
        <v>134</v>
      </c>
      <c r="D7" s="4">
        <f t="shared" si="6"/>
        <v>137.5</v>
      </c>
      <c r="E7" s="4">
        <f t="shared" si="12"/>
        <v>137.5</v>
      </c>
      <c r="F7" s="4">
        <f t="shared" si="7"/>
        <v>138.875</v>
      </c>
      <c r="G7" s="13">
        <f t="shared" si="8"/>
        <v>138.875</v>
      </c>
      <c r="H7" s="13">
        <f t="shared" si="9"/>
        <v>0.96489648964896491</v>
      </c>
      <c r="I7" s="16">
        <f t="shared" si="10"/>
        <v>0.96258349419050104</v>
      </c>
      <c r="J7" s="16">
        <f t="shared" si="11"/>
        <v>0.96252001509950513</v>
      </c>
      <c r="K7" s="14">
        <v>0.96258349419050104</v>
      </c>
      <c r="L7" s="11">
        <f t="shared" si="0"/>
        <v>139.20870325403752</v>
      </c>
      <c r="O7" s="23">
        <f t="shared" si="5"/>
        <v>138.83586552126602</v>
      </c>
      <c r="P7" s="15">
        <f t="shared" si="1"/>
        <v>133.64111255242275</v>
      </c>
      <c r="Q7">
        <f t="shared" si="2"/>
        <v>0.35888744757724567</v>
      </c>
      <c r="R7">
        <f t="shared" si="3"/>
        <v>0.12880020002851025</v>
      </c>
    </row>
    <row r="8" spans="1:18" x14ac:dyDescent="0.3">
      <c r="B8" s="7">
        <f t="shared" si="4"/>
        <v>7</v>
      </c>
      <c r="C8" s="7">
        <v>159</v>
      </c>
      <c r="D8" s="4">
        <f t="shared" si="6"/>
        <v>140.25</v>
      </c>
      <c r="E8" s="4">
        <f t="shared" si="12"/>
        <v>140.25</v>
      </c>
      <c r="F8" s="4">
        <f t="shared" si="7"/>
        <v>141.125</v>
      </c>
      <c r="G8" s="12">
        <f t="shared" si="8"/>
        <v>141.125</v>
      </c>
      <c r="H8" s="12">
        <f t="shared" si="9"/>
        <v>1.1266607617360496</v>
      </c>
      <c r="K8" s="14">
        <v>1.1315121990498431</v>
      </c>
      <c r="L8" s="11">
        <f t="shared" si="0"/>
        <v>140.51991673931218</v>
      </c>
      <c r="O8" s="23">
        <f t="shared" si="5"/>
        <v>141.17929719543898</v>
      </c>
      <c r="P8" s="15">
        <f t="shared" si="1"/>
        <v>159.74609702992251</v>
      </c>
      <c r="Q8">
        <f t="shared" si="2"/>
        <v>-0.74609702992250959</v>
      </c>
      <c r="R8">
        <f t="shared" si="3"/>
        <v>0.55666077805919012</v>
      </c>
    </row>
    <row r="9" spans="1:18" x14ac:dyDescent="0.3">
      <c r="B9" s="7">
        <f>B8+1</f>
        <v>8</v>
      </c>
      <c r="C9" s="7">
        <v>152</v>
      </c>
      <c r="D9" s="4">
        <f t="shared" si="6"/>
        <v>142</v>
      </c>
      <c r="E9" s="4">
        <f t="shared" si="12"/>
        <v>142</v>
      </c>
      <c r="F9" s="4">
        <f t="shared" si="7"/>
        <v>143</v>
      </c>
      <c r="G9" s="13">
        <f t="shared" si="8"/>
        <v>143</v>
      </c>
      <c r="H9" s="13">
        <f t="shared" si="9"/>
        <v>1.0629370629370629</v>
      </c>
      <c r="K9" s="14">
        <v>1.0570976088217467</v>
      </c>
      <c r="L9" s="11">
        <f t="shared" si="0"/>
        <v>143.78993834771887</v>
      </c>
      <c r="O9" s="23">
        <f t="shared" si="5"/>
        <v>143.52272886961197</v>
      </c>
      <c r="P9" s="15">
        <f t="shared" si="1"/>
        <v>151.71753349963868</v>
      </c>
      <c r="Q9">
        <f t="shared" si="2"/>
        <v>0.28246650036132337</v>
      </c>
      <c r="R9">
        <f t="shared" si="3"/>
        <v>7.9787323826373491E-2</v>
      </c>
    </row>
    <row r="10" spans="1:18" x14ac:dyDescent="0.3">
      <c r="A10">
        <v>3</v>
      </c>
      <c r="B10" s="23">
        <f t="shared" si="4"/>
        <v>9</v>
      </c>
      <c r="C10" s="23">
        <v>123</v>
      </c>
      <c r="D10" s="4">
        <f t="shared" si="6"/>
        <v>144</v>
      </c>
      <c r="E10" s="4">
        <f t="shared" si="12"/>
        <v>144</v>
      </c>
      <c r="F10" s="4">
        <f t="shared" si="7"/>
        <v>145.125</v>
      </c>
      <c r="G10" s="13">
        <f t="shared" si="8"/>
        <v>145.125</v>
      </c>
      <c r="H10" s="13">
        <f t="shared" si="9"/>
        <v>0.84754521963824292</v>
      </c>
      <c r="K10" s="6">
        <v>0.84907050166146791</v>
      </c>
      <c r="L10" s="11">
        <f t="shared" si="0"/>
        <v>144.86429543755509</v>
      </c>
      <c r="O10" s="23">
        <f t="shared" si="5"/>
        <v>145.86616054378493</v>
      </c>
      <c r="P10" s="15">
        <f t="shared" si="1"/>
        <v>123.85065410834369</v>
      </c>
      <c r="Q10">
        <f t="shared" si="2"/>
        <v>-0.85065410834369004</v>
      </c>
      <c r="R10">
        <f t="shared" si="3"/>
        <v>0.72361241204199833</v>
      </c>
    </row>
    <row r="11" spans="1:18" x14ac:dyDescent="0.3">
      <c r="B11" s="23">
        <f t="shared" si="4"/>
        <v>10</v>
      </c>
      <c r="C11" s="23">
        <v>142</v>
      </c>
      <c r="D11" s="4">
        <f t="shared" si="6"/>
        <v>146.25</v>
      </c>
      <c r="E11" s="4">
        <f t="shared" si="12"/>
        <v>146.25</v>
      </c>
      <c r="F11" s="4">
        <f t="shared" si="7"/>
        <v>147.875</v>
      </c>
      <c r="G11" s="13">
        <f t="shared" si="8"/>
        <v>147.875</v>
      </c>
      <c r="H11" s="13">
        <f t="shared" si="9"/>
        <v>0.96027049873203718</v>
      </c>
      <c r="K11" s="6">
        <v>0.96258349419050104</v>
      </c>
      <c r="L11" s="11">
        <f t="shared" si="0"/>
        <v>147.51967061248752</v>
      </c>
      <c r="O11" s="23">
        <f t="shared" si="5"/>
        <v>148.20959221795789</v>
      </c>
      <c r="P11" s="15">
        <f t="shared" si="1"/>
        <v>142.66410714971119</v>
      </c>
      <c r="Q11">
        <f t="shared" si="2"/>
        <v>-0.66410714971118523</v>
      </c>
      <c r="R11">
        <f t="shared" si="3"/>
        <v>0.44103830629751462</v>
      </c>
    </row>
    <row r="12" spans="1:18" x14ac:dyDescent="0.3">
      <c r="B12" s="23">
        <f t="shared" si="4"/>
        <v>11</v>
      </c>
      <c r="C12" s="23">
        <v>168</v>
      </c>
      <c r="D12" s="4">
        <f t="shared" si="6"/>
        <v>149.5</v>
      </c>
      <c r="E12" s="4">
        <f t="shared" si="12"/>
        <v>149.5</v>
      </c>
      <c r="F12" s="4">
        <f t="shared" si="7"/>
        <v>149.5</v>
      </c>
      <c r="K12" s="6">
        <v>1.1315121990498431</v>
      </c>
      <c r="L12" s="11">
        <f t="shared" si="0"/>
        <v>148.47387429059401</v>
      </c>
      <c r="O12" s="23">
        <f t="shared" si="5"/>
        <v>150.55302389213085</v>
      </c>
      <c r="P12" s="15">
        <f t="shared" si="1"/>
        <v>170.35258313778854</v>
      </c>
      <c r="Q12">
        <f t="shared" si="2"/>
        <v>-2.3525831377885424</v>
      </c>
      <c r="R12">
        <f t="shared" si="3"/>
        <v>5.5346474202069844</v>
      </c>
    </row>
    <row r="13" spans="1:18" x14ac:dyDescent="0.3">
      <c r="B13" s="23">
        <f t="shared" si="4"/>
        <v>12</v>
      </c>
      <c r="C13" s="23">
        <v>165</v>
      </c>
      <c r="K13" s="6">
        <v>1.0570976088217467</v>
      </c>
      <c r="L13" s="11">
        <f t="shared" si="0"/>
        <v>156.08776202219482</v>
      </c>
      <c r="O13" s="23">
        <f t="shared" si="5"/>
        <v>152.89645556630381</v>
      </c>
      <c r="P13" s="15">
        <f t="shared" si="1"/>
        <v>161.62647757646022</v>
      </c>
      <c r="Q13">
        <f t="shared" si="2"/>
        <v>3.3735224235397823</v>
      </c>
      <c r="R13">
        <f t="shared" si="3"/>
        <v>11.380653542125726</v>
      </c>
    </row>
    <row r="14" spans="1:18" x14ac:dyDescent="0.3">
      <c r="A14" s="24">
        <v>4</v>
      </c>
      <c r="B14" s="24">
        <f t="shared" si="4"/>
        <v>13</v>
      </c>
      <c r="C14" s="24">
        <v>131.80960893714132</v>
      </c>
      <c r="D14" s="24"/>
      <c r="E14" s="24"/>
      <c r="F14" s="24"/>
      <c r="G14" s="24"/>
      <c r="H14" s="24"/>
      <c r="I14" s="15">
        <f>SUM(I4:I7)</f>
        <v>4.0002638037235592</v>
      </c>
      <c r="J14" s="15" t="s">
        <v>81</v>
      </c>
      <c r="K14">
        <v>0.84907050166146791</v>
      </c>
      <c r="L14" s="8">
        <v>155.23988724047678</v>
      </c>
      <c r="M14" s="24">
        <f>L14*K14</f>
        <v>131.80960893714132</v>
      </c>
      <c r="O14" s="23">
        <f>$N$25*B14+$N$24</f>
        <v>155.23988724047678</v>
      </c>
      <c r="P14" s="15">
        <f t="shared" si="1"/>
        <v>131.80960893714132</v>
      </c>
    </row>
    <row r="15" spans="1:18" x14ac:dyDescent="0.3">
      <c r="A15" s="24"/>
      <c r="B15" s="24">
        <f>B14+1</f>
        <v>14</v>
      </c>
      <c r="C15" s="24">
        <v>151.68710174699962</v>
      </c>
      <c r="D15" s="24"/>
      <c r="E15" s="24"/>
      <c r="F15" s="24"/>
      <c r="G15" s="24"/>
      <c r="H15" s="24"/>
      <c r="K15">
        <v>0.96258349419050104</v>
      </c>
      <c r="L15" s="8">
        <v>157.58331891464974</v>
      </c>
      <c r="M15" s="24">
        <f t="shared" ref="M15:M17" si="13">L15*K15</f>
        <v>151.68710174699962</v>
      </c>
      <c r="O15" s="23">
        <f t="shared" si="5"/>
        <v>157.58331891464974</v>
      </c>
      <c r="P15" s="15">
        <f t="shared" si="1"/>
        <v>151.68710174699962</v>
      </c>
    </row>
    <row r="16" spans="1:18" x14ac:dyDescent="0.3">
      <c r="A16" s="24"/>
      <c r="B16" s="24">
        <f t="shared" si="4"/>
        <v>15</v>
      </c>
      <c r="C16" s="24">
        <v>180.9590692456546</v>
      </c>
      <c r="D16" s="24"/>
      <c r="E16" s="24"/>
      <c r="F16" s="24"/>
      <c r="G16" s="24"/>
      <c r="H16" s="24"/>
      <c r="K16">
        <v>1.1315121990498431</v>
      </c>
      <c r="L16" s="8">
        <v>159.92675058882273</v>
      </c>
      <c r="M16" s="24">
        <f t="shared" si="13"/>
        <v>180.9590692456546</v>
      </c>
      <c r="O16" s="23">
        <f t="shared" si="5"/>
        <v>159.92675058882273</v>
      </c>
      <c r="P16" s="15">
        <f t="shared" si="1"/>
        <v>180.9590692456546</v>
      </c>
    </row>
    <row r="17" spans="1:18" x14ac:dyDescent="0.3">
      <c r="A17" s="24"/>
      <c r="B17" s="24">
        <f t="shared" si="4"/>
        <v>16</v>
      </c>
      <c r="C17" s="24">
        <v>171.53542165328176</v>
      </c>
      <c r="D17" s="24"/>
      <c r="E17" s="24"/>
      <c r="F17" s="24"/>
      <c r="G17" s="24"/>
      <c r="H17" s="24"/>
      <c r="K17">
        <v>1.0570976088217467</v>
      </c>
      <c r="L17" s="8">
        <v>162.27018226299569</v>
      </c>
      <c r="M17" s="24">
        <f t="shared" si="13"/>
        <v>171.53542165328176</v>
      </c>
      <c r="O17" s="23">
        <f t="shared" si="5"/>
        <v>162.27018226299569</v>
      </c>
      <c r="P17" s="15">
        <f t="shared" si="1"/>
        <v>171.53542165328176</v>
      </c>
    </row>
    <row r="18" spans="1:18" x14ac:dyDescent="0.3">
      <c r="A18" s="13"/>
      <c r="B18" s="13"/>
      <c r="C18" s="13"/>
      <c r="D18" s="13"/>
      <c r="E18" s="13"/>
      <c r="F18" s="13"/>
      <c r="G18" s="13"/>
      <c r="H18" s="13"/>
      <c r="I18" s="13"/>
      <c r="R18" t="s">
        <v>74</v>
      </c>
    </row>
    <row r="19" spans="1:18" x14ac:dyDescent="0.3">
      <c r="R19">
        <f>AVERAGE(R2:R13)</f>
        <v>1.7001143711557756</v>
      </c>
    </row>
    <row r="20" spans="1:18" x14ac:dyDescent="0.3">
      <c r="R20" s="4" t="s">
        <v>75</v>
      </c>
    </row>
    <row r="21" spans="1:18" x14ac:dyDescent="0.3">
      <c r="R21" s="4">
        <f>SQRT(R19)</f>
        <v>1.3038843396389788</v>
      </c>
    </row>
    <row r="24" spans="1:18" x14ac:dyDescent="0.3">
      <c r="M24" s="6" t="s">
        <v>28</v>
      </c>
      <c r="N24" s="6">
        <v>124.77527547622822</v>
      </c>
    </row>
    <row r="25" spans="1:18" x14ac:dyDescent="0.3">
      <c r="M25" s="6" t="s">
        <v>65</v>
      </c>
      <c r="N25" s="6">
        <v>2.343431674172967</v>
      </c>
    </row>
    <row r="40" spans="2:2" x14ac:dyDescent="0.3">
      <c r="B40" t="s">
        <v>94</v>
      </c>
    </row>
    <row r="41" spans="2:2" x14ac:dyDescent="0.3">
      <c r="B41" t="s">
        <v>96</v>
      </c>
    </row>
    <row r="42" spans="2:2" x14ac:dyDescent="0.3">
      <c r="B42" t="s">
        <v>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4E7A-271C-40F0-8BB5-290ECDA2B0E3}">
  <dimension ref="A1:N36"/>
  <sheetViews>
    <sheetView topLeftCell="A21" workbookViewId="0">
      <selection activeCell="F35" sqref="F35:G36"/>
    </sheetView>
  </sheetViews>
  <sheetFormatPr defaultRowHeight="14.4" x14ac:dyDescent="0.3"/>
  <cols>
    <col min="9" max="9" width="12.88671875" bestFit="1" customWidth="1"/>
    <col min="10" max="10" width="50.44140625" bestFit="1" customWidth="1"/>
  </cols>
  <sheetData>
    <row r="1" spans="1:10" x14ac:dyDescent="0.3">
      <c r="A1" s="11" t="s">
        <v>86</v>
      </c>
      <c r="B1" s="11" t="s">
        <v>85</v>
      </c>
      <c r="E1" t="s">
        <v>89</v>
      </c>
      <c r="J1" s="15" t="s">
        <v>84</v>
      </c>
    </row>
    <row r="2" spans="1:10" x14ac:dyDescent="0.3">
      <c r="A2" s="11">
        <v>1</v>
      </c>
      <c r="B2" s="11">
        <v>127.1979179451703</v>
      </c>
      <c r="J2" t="s">
        <v>88</v>
      </c>
    </row>
    <row r="3" spans="1:10" x14ac:dyDescent="0.3">
      <c r="A3" s="11">
        <v>2</v>
      </c>
      <c r="B3" s="11">
        <v>129.85886497578127</v>
      </c>
      <c r="I3" s="15" t="s">
        <v>41</v>
      </c>
    </row>
    <row r="4" spans="1:10" x14ac:dyDescent="0.3">
      <c r="A4" s="11">
        <v>3</v>
      </c>
      <c r="B4" s="11">
        <v>132.56595918803038</v>
      </c>
      <c r="I4" s="15" t="s">
        <v>42</v>
      </c>
    </row>
    <row r="5" spans="1:10" x14ac:dyDescent="0.3">
      <c r="A5" s="11">
        <v>4</v>
      </c>
      <c r="B5" s="11">
        <v>133.38408754623921</v>
      </c>
      <c r="I5" s="15" t="s">
        <v>87</v>
      </c>
      <c r="J5" s="8">
        <f>$G$36*A14+$G$35</f>
        <v>155.23988724047678</v>
      </c>
    </row>
    <row r="6" spans="1:10" x14ac:dyDescent="0.3">
      <c r="A6" s="11">
        <v>5</v>
      </c>
      <c r="B6" s="11">
        <v>136.61998594110887</v>
      </c>
      <c r="J6" s="8"/>
    </row>
    <row r="7" spans="1:10" x14ac:dyDescent="0.3">
      <c r="A7" s="11">
        <v>6</v>
      </c>
      <c r="B7" s="11">
        <v>139.20870325403752</v>
      </c>
      <c r="J7" s="8">
        <v>157.58331891464974</v>
      </c>
    </row>
    <row r="8" spans="1:10" x14ac:dyDescent="0.3">
      <c r="A8" s="11">
        <v>7</v>
      </c>
      <c r="B8" s="11">
        <v>140.51991673931218</v>
      </c>
      <c r="J8" s="8">
        <v>159.92675058882273</v>
      </c>
    </row>
    <row r="9" spans="1:10" x14ac:dyDescent="0.3">
      <c r="A9" s="11">
        <v>8</v>
      </c>
      <c r="B9" s="11">
        <v>143.78993834771887</v>
      </c>
      <c r="J9" s="8">
        <v>162.27018226299569</v>
      </c>
    </row>
    <row r="10" spans="1:10" x14ac:dyDescent="0.3">
      <c r="A10" s="11">
        <v>9</v>
      </c>
      <c r="B10" s="11">
        <v>144.86429543755509</v>
      </c>
    </row>
    <row r="11" spans="1:10" x14ac:dyDescent="0.3">
      <c r="A11" s="11">
        <v>10</v>
      </c>
      <c r="B11" s="11">
        <v>147.51967061248752</v>
      </c>
    </row>
    <row r="12" spans="1:10" x14ac:dyDescent="0.3">
      <c r="A12" s="11">
        <v>11</v>
      </c>
      <c r="B12" s="11">
        <v>148.47387429059401</v>
      </c>
    </row>
    <row r="13" spans="1:10" x14ac:dyDescent="0.3">
      <c r="A13" s="11">
        <v>12</v>
      </c>
      <c r="B13" s="11">
        <v>156.08776202219482</v>
      </c>
    </row>
    <row r="14" spans="1:10" x14ac:dyDescent="0.3">
      <c r="A14" s="4">
        <v>13</v>
      </c>
      <c r="B14" s="8">
        <f>$G$36*A14+$G$35</f>
        <v>155.23988724047678</v>
      </c>
    </row>
    <row r="15" spans="1:10" x14ac:dyDescent="0.3">
      <c r="A15" s="4">
        <v>14</v>
      </c>
      <c r="B15" s="8">
        <f t="shared" ref="B15:B17" si="0">$G$36*A15+$G$35</f>
        <v>157.58331891464974</v>
      </c>
    </row>
    <row r="16" spans="1:10" x14ac:dyDescent="0.3">
      <c r="A16" s="4">
        <v>15</v>
      </c>
      <c r="B16" s="8">
        <f t="shared" si="0"/>
        <v>159.92675058882273</v>
      </c>
    </row>
    <row r="17" spans="1:11" x14ac:dyDescent="0.3">
      <c r="A17" s="4">
        <v>16</v>
      </c>
      <c r="B17" s="8">
        <f t="shared" si="0"/>
        <v>162.27018226299569</v>
      </c>
    </row>
    <row r="19" spans="1:11" x14ac:dyDescent="0.3">
      <c r="F19" t="s">
        <v>17</v>
      </c>
    </row>
    <row r="20" spans="1:11" ht="15" thickBot="1" x14ac:dyDescent="0.35"/>
    <row r="21" spans="1:11" x14ac:dyDescent="0.3">
      <c r="F21" s="20" t="s">
        <v>18</v>
      </c>
      <c r="G21" s="20"/>
    </row>
    <row r="22" spans="1:11" x14ac:dyDescent="0.3">
      <c r="F22" s="17" t="s">
        <v>19</v>
      </c>
      <c r="G22" s="17">
        <v>0.98874798459255775</v>
      </c>
    </row>
    <row r="23" spans="1:11" x14ac:dyDescent="0.3">
      <c r="F23" s="17" t="s">
        <v>20</v>
      </c>
      <c r="G23" s="17">
        <v>0.97762257703584476</v>
      </c>
    </row>
    <row r="24" spans="1:11" x14ac:dyDescent="0.3">
      <c r="F24" s="17" t="s">
        <v>21</v>
      </c>
      <c r="G24" s="17">
        <v>0.97538483473942927</v>
      </c>
    </row>
    <row r="25" spans="1:11" x14ac:dyDescent="0.3">
      <c r="F25" s="17" t="s">
        <v>22</v>
      </c>
      <c r="G25" s="17">
        <v>1.34072509525615</v>
      </c>
    </row>
    <row r="26" spans="1:11" ht="15" thickBot="1" x14ac:dyDescent="0.35">
      <c r="F26" s="18" t="s">
        <v>23</v>
      </c>
      <c r="G26" s="18">
        <v>12</v>
      </c>
    </row>
    <row r="28" spans="1:11" ht="15" thickBot="1" x14ac:dyDescent="0.35">
      <c r="F28" t="s">
        <v>24</v>
      </c>
    </row>
    <row r="29" spans="1:11" x14ac:dyDescent="0.3">
      <c r="F29" s="19"/>
      <c r="G29" s="19" t="s">
        <v>29</v>
      </c>
      <c r="H29" s="19" t="s">
        <v>30</v>
      </c>
      <c r="I29" s="19" t="s">
        <v>31</v>
      </c>
      <c r="J29" s="19" t="s">
        <v>32</v>
      </c>
      <c r="K29" s="19" t="s">
        <v>33</v>
      </c>
    </row>
    <row r="30" spans="1:11" x14ac:dyDescent="0.3">
      <c r="F30" s="17" t="s">
        <v>25</v>
      </c>
      <c r="G30" s="17">
        <v>1</v>
      </c>
      <c r="H30" s="17">
        <v>785.30909764694718</v>
      </c>
      <c r="I30" s="17">
        <v>785.30909764694718</v>
      </c>
      <c r="J30" s="17">
        <v>436.8789822678998</v>
      </c>
      <c r="K30" s="17">
        <v>1.3939274611582516E-9</v>
      </c>
    </row>
    <row r="31" spans="1:11" x14ac:dyDescent="0.3">
      <c r="F31" s="17" t="s">
        <v>26</v>
      </c>
      <c r="G31" s="17">
        <v>10</v>
      </c>
      <c r="H31" s="17">
        <v>17.975437810496125</v>
      </c>
      <c r="I31" s="17">
        <v>1.7975437810496124</v>
      </c>
      <c r="J31" s="17"/>
      <c r="K31" s="17"/>
    </row>
    <row r="32" spans="1:11" ht="15" thickBot="1" x14ac:dyDescent="0.35">
      <c r="F32" s="18" t="s">
        <v>27</v>
      </c>
      <c r="G32" s="18">
        <v>11</v>
      </c>
      <c r="H32" s="18">
        <v>803.28453545744333</v>
      </c>
      <c r="I32" s="18"/>
      <c r="J32" s="18"/>
      <c r="K32" s="18"/>
    </row>
    <row r="33" spans="6:14" ht="15" thickBot="1" x14ac:dyDescent="0.35"/>
    <row r="34" spans="6:14" x14ac:dyDescent="0.3">
      <c r="F34" s="19"/>
      <c r="G34" s="19" t="s">
        <v>34</v>
      </c>
      <c r="H34" s="19" t="s">
        <v>22</v>
      </c>
      <c r="I34" s="19" t="s">
        <v>35</v>
      </c>
      <c r="J34" s="19" t="s">
        <v>36</v>
      </c>
      <c r="K34" s="19" t="s">
        <v>37</v>
      </c>
      <c r="L34" s="19" t="s">
        <v>38</v>
      </c>
      <c r="M34" s="19" t="s">
        <v>39</v>
      </c>
      <c r="N34" s="19" t="s">
        <v>40</v>
      </c>
    </row>
    <row r="35" spans="6:14" x14ac:dyDescent="0.3">
      <c r="F35" s="17" t="s">
        <v>28</v>
      </c>
      <c r="G35" s="21">
        <v>124.77527547622822</v>
      </c>
      <c r="H35" s="17">
        <v>0.82515925484243702</v>
      </c>
      <c r="I35" s="17">
        <v>151.21356846449461</v>
      </c>
      <c r="J35" s="17">
        <v>3.9293672180031548E-18</v>
      </c>
      <c r="K35" s="17">
        <v>122.93670608143773</v>
      </c>
      <c r="L35" s="17">
        <v>126.6138448710187</v>
      </c>
      <c r="M35" s="17">
        <v>122.93670608143773</v>
      </c>
      <c r="N35" s="17">
        <v>126.6138448710187</v>
      </c>
    </row>
    <row r="36" spans="6:14" ht="15" thickBot="1" x14ac:dyDescent="0.35">
      <c r="F36" s="18" t="s">
        <v>65</v>
      </c>
      <c r="G36" s="22">
        <v>2.343431674172967</v>
      </c>
      <c r="H36" s="18">
        <v>0.11211706485239512</v>
      </c>
      <c r="I36" s="18">
        <v>20.90165022834082</v>
      </c>
      <c r="J36" s="18">
        <v>1.3939274611582516E-9</v>
      </c>
      <c r="K36" s="18">
        <v>2.0936192860046807</v>
      </c>
      <c r="L36" s="18">
        <v>2.5932440623412534</v>
      </c>
      <c r="M36" s="18">
        <v>2.0936192860046807</v>
      </c>
      <c r="N36" s="18">
        <v>2.5932440623412534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Quarterly Average method</vt:lpstr>
      <vt:lpstr>QAM</vt:lpstr>
      <vt:lpstr>Matrix Normalization Method</vt:lpstr>
      <vt:lpstr> Seasonality &amp; Trend Holt's Mod</vt:lpstr>
      <vt:lpstr>Multiplicative Decomposition Me</vt:lpstr>
      <vt:lpstr>MDM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De</dc:creator>
  <cp:lastModifiedBy>Akash De</cp:lastModifiedBy>
  <dcterms:created xsi:type="dcterms:W3CDTF">2025-04-16T19:25:57Z</dcterms:created>
  <dcterms:modified xsi:type="dcterms:W3CDTF">2025-04-17T13:52:54Z</dcterms:modified>
</cp:coreProperties>
</file>