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NEU\Spring 2022\PSA\INFO6205\Assignments\Assignment-6\"/>
    </mc:Choice>
  </mc:AlternateContent>
  <xr:revisionPtr revIDLastSave="0" documentId="13_ncr:1_{A8F93F1A-63B2-4BF3-A982-2CD37A61CB1A}" xr6:coauthVersionLast="47" xr6:coauthVersionMax="47" xr10:uidLastSave="{00000000-0000-0000-0000-000000000000}"/>
  <bookViews>
    <workbookView xWindow="-110" yWindow="-110" windowWidth="19420" windowHeight="10300" xr2:uid="{A1CEA7B7-BE9B-4A2F-8DA7-AE6416A10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16" i="1"/>
  <c r="E15" i="1"/>
  <c r="E14" i="1"/>
  <c r="E13" i="1"/>
  <c r="E12" i="1"/>
  <c r="F7" i="1"/>
  <c r="F6" i="1"/>
  <c r="F5" i="1"/>
  <c r="F4" i="1"/>
  <c r="F3" i="1"/>
  <c r="E7" i="1"/>
  <c r="E6" i="1"/>
  <c r="E5" i="1"/>
  <c r="E4" i="1"/>
  <c r="E3" i="1"/>
  <c r="G3" i="1"/>
  <c r="G4" i="1"/>
  <c r="G5" i="1"/>
  <c r="G6" i="1"/>
  <c r="G7" i="1"/>
  <c r="F25" i="1"/>
  <c r="F24" i="1"/>
  <c r="F23" i="1"/>
  <c r="F22" i="1"/>
  <c r="F21" i="1"/>
  <c r="F16" i="1"/>
  <c r="F15" i="1"/>
  <c r="F14" i="1"/>
  <c r="F13" i="1"/>
  <c r="F1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</calcChain>
</file>

<file path=xl/sharedStrings.xml><?xml version="1.0" encoding="utf-8"?>
<sst xmlns="http://schemas.openxmlformats.org/spreadsheetml/2006/main" count="22" uniqueCount="10">
  <si>
    <t>N</t>
  </si>
  <si>
    <t>Log(compares)</t>
  </si>
  <si>
    <t>Log(Swaps)</t>
  </si>
  <si>
    <t>Log(Hits)</t>
  </si>
  <si>
    <t>Log(Time w/o instrumenting)</t>
  </si>
  <si>
    <t xml:space="preserve">Log(Time w instrumenting) </t>
  </si>
  <si>
    <t>MergeSort</t>
  </si>
  <si>
    <t>HeapSort</t>
  </si>
  <si>
    <t>QuickSort</t>
  </si>
  <si>
    <t>Log(Copies)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</si>
</sst>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13.251491286895456</c:v>
                </c:pt>
                <c:pt idx="1">
                  <c:v>14.251219056275948</c:v>
                </c:pt>
                <c:pt idx="2">
                  <c:v>15.252797353193616</c:v>
                </c:pt>
                <c:pt idx="3">
                  <c:v>16.253436462176804</c:v>
                </c:pt>
                <c:pt idx="4">
                  <c:v>17.252595217612075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3.0426443374084937</c:v>
                </c:pt>
                <c:pt idx="1">
                  <c:v>3.5849625007211565</c:v>
                </c:pt>
                <c:pt idx="2">
                  <c:v>3.9373443921502322</c:v>
                </c:pt>
                <c:pt idx="3">
                  <c:v>5.0946583426545438</c:v>
                </c:pt>
                <c:pt idx="4">
                  <c:v>6.2380225178257218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5-48FD-8B8F-EB87CCCA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w/o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Sheet1!$C$12:$C$16</c:f>
              <c:numCache>
                <c:formatCode>General</c:formatCode>
                <c:ptCount val="5"/>
                <c:pt idx="0">
                  <c:v>15.987985845252332</c:v>
                </c:pt>
                <c:pt idx="1">
                  <c:v>17.100774942509986</c:v>
                </c:pt>
                <c:pt idx="2">
                  <c:v>18.2156480755663</c:v>
                </c:pt>
                <c:pt idx="3">
                  <c:v>19.304237514727077</c:v>
                </c:pt>
                <c:pt idx="4">
                  <c:v>20.414586662315813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1.7268312170324931</c:v>
                </c:pt>
                <c:pt idx="1">
                  <c:v>2.3219280948873622</c:v>
                </c:pt>
                <c:pt idx="2">
                  <c:v>3.3132458517875611</c:v>
                </c:pt>
                <c:pt idx="3">
                  <c:v>4.5235619560570131</c:v>
                </c:pt>
                <c:pt idx="4">
                  <c:v>6.0988742867444499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5-4219-AC15-685D55B0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Sheet1!$B$12:$B$16</c:f>
              <c:numCache>
                <c:formatCode>General</c:formatCode>
                <c:ptCount val="5"/>
                <c:pt idx="0">
                  <c:v>17.253954837561356</c:v>
                </c:pt>
                <c:pt idx="1">
                  <c:v>18.367766150352402</c:v>
                </c:pt>
                <c:pt idx="2">
                  <c:v>19.489658914904314</c:v>
                </c:pt>
                <c:pt idx="3">
                  <c:v>20.593709422028393</c:v>
                </c:pt>
                <c:pt idx="4">
                  <c:v>21.690932762681058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2.176322772640463</c:v>
                </c:pt>
                <c:pt idx="1">
                  <c:v>2.5993177936982264</c:v>
                </c:pt>
                <c:pt idx="2">
                  <c:v>3.7980505147675148</c:v>
                </c:pt>
                <c:pt idx="3">
                  <c:v>4.9259994185562235</c:v>
                </c:pt>
                <c:pt idx="4">
                  <c:v>6.1906148602094984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7-4A9D-B337-A8C903D9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lg(compares)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w/o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Sheet1!$C$12:$C$16</c:f>
              <c:numCache>
                <c:formatCode>General</c:formatCode>
                <c:ptCount val="5"/>
                <c:pt idx="0">
                  <c:v>15.987985845252332</c:v>
                </c:pt>
                <c:pt idx="1">
                  <c:v>17.100774942509986</c:v>
                </c:pt>
                <c:pt idx="2">
                  <c:v>18.2156480755663</c:v>
                </c:pt>
                <c:pt idx="3">
                  <c:v>19.304237514727077</c:v>
                </c:pt>
                <c:pt idx="4">
                  <c:v>20.414586662315813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1.7268312170324931</c:v>
                </c:pt>
                <c:pt idx="1">
                  <c:v>2.3219280948873622</c:v>
                </c:pt>
                <c:pt idx="2">
                  <c:v>3.3132458517875611</c:v>
                </c:pt>
                <c:pt idx="3">
                  <c:v>4.5235619560570131</c:v>
                </c:pt>
                <c:pt idx="4">
                  <c:v>6.0988742867444499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8-463B-ABAE-108C6327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lg(compares)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Sheet1!$D$12:$D$16</c:f>
              <c:numCache>
                <c:formatCode>General</c:formatCode>
                <c:ptCount val="5"/>
                <c:pt idx="0">
                  <c:v>18.67672943766631</c:v>
                </c:pt>
                <c:pt idx="1">
                  <c:v>19.789152050193177</c:v>
                </c:pt>
                <c:pt idx="2">
                  <c:v>20.905977314453356</c:v>
                </c:pt>
                <c:pt idx="3">
                  <c:v>21.999907095420355</c:v>
                </c:pt>
                <c:pt idx="4">
                  <c:v>23.104736226565134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2.176322772640463</c:v>
                </c:pt>
                <c:pt idx="1">
                  <c:v>2.5993177936982264</c:v>
                </c:pt>
                <c:pt idx="2">
                  <c:v>3.7980505147675148</c:v>
                </c:pt>
                <c:pt idx="3">
                  <c:v>4.9259994185562235</c:v>
                </c:pt>
                <c:pt idx="4">
                  <c:v>6.1906148602094984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E-4A08-A001-12D7D06E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w/o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Sheet1!$B$12:$B$16</c:f>
              <c:numCache>
                <c:formatCode>General</c:formatCode>
                <c:ptCount val="5"/>
                <c:pt idx="0">
                  <c:v>17.253954837561356</c:v>
                </c:pt>
                <c:pt idx="1">
                  <c:v>18.367766150352402</c:v>
                </c:pt>
                <c:pt idx="2">
                  <c:v>19.489658914904314</c:v>
                </c:pt>
                <c:pt idx="3">
                  <c:v>20.593709422028393</c:v>
                </c:pt>
                <c:pt idx="4">
                  <c:v>21.690932762681058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1.7268312170324931</c:v>
                </c:pt>
                <c:pt idx="1">
                  <c:v>2.3219280948873622</c:v>
                </c:pt>
                <c:pt idx="2">
                  <c:v>3.3132458517875611</c:v>
                </c:pt>
                <c:pt idx="3">
                  <c:v>4.5235619560570131</c:v>
                </c:pt>
                <c:pt idx="4">
                  <c:v>6.0988742867444499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2-4085-A737-BF3FCAB6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HeapSort- </a:t>
            </a:r>
            <a:r>
              <a:rPr lang="en-US" b="0"/>
              <a:t>lg(Time w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17.844572577173885</c:v>
                </c:pt>
                <c:pt idx="1">
                  <c:v>18.962256813010633</c:v>
                </c:pt>
                <c:pt idx="2">
                  <c:v>20.071032118063393</c:v>
                </c:pt>
                <c:pt idx="3">
                  <c:v>21.17217891846871</c:v>
                </c:pt>
                <c:pt idx="4">
                  <c:v>22.266690986292595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1.8875252707415877</c:v>
                </c:pt>
                <c:pt idx="1">
                  <c:v>3.8982083525087177</c:v>
                </c:pt>
                <c:pt idx="2">
                  <c:v>4.5447326559326235</c:v>
                </c:pt>
                <c:pt idx="3">
                  <c:v>5.7920744619288698</c:v>
                </c:pt>
                <c:pt idx="4">
                  <c:v>7.6760275786516914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1-49B9-B454-72BB816C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lg(compares)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 - </a:t>
            </a:r>
            <a:r>
              <a:rPr lang="en-US" b="0"/>
              <a:t>lg(Time w/o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Sheet1!$D$12:$D$16</c:f>
              <c:numCache>
                <c:formatCode>General</c:formatCode>
                <c:ptCount val="5"/>
                <c:pt idx="0">
                  <c:v>18.67672943766631</c:v>
                </c:pt>
                <c:pt idx="1">
                  <c:v>19.789152050193177</c:v>
                </c:pt>
                <c:pt idx="2">
                  <c:v>20.905977314453356</c:v>
                </c:pt>
                <c:pt idx="3">
                  <c:v>21.999907095420355</c:v>
                </c:pt>
                <c:pt idx="4">
                  <c:v>23.104736226565134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1.7441610955704101</c:v>
                </c:pt>
                <c:pt idx="1">
                  <c:v>2.8539956471763932</c:v>
                </c:pt>
                <c:pt idx="2">
                  <c:v>4.1937717433966801</c:v>
                </c:pt>
                <c:pt idx="3">
                  <c:v>5.1399605695454564</c:v>
                </c:pt>
                <c:pt idx="4">
                  <c:v>6.9903876518027444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8-418D-BDE6-AE2A9542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HeapSort- </a:t>
            </a:r>
            <a:r>
              <a:rPr lang="en-US" b="0"/>
              <a:t>lg(Time w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Sheet1!$C$21:$C$25</c:f>
              <c:numCache>
                <c:formatCode>General</c:formatCode>
                <c:ptCount val="5"/>
                <c:pt idx="0">
                  <c:v>16.922223172732885</c:v>
                </c:pt>
                <c:pt idx="1">
                  <c:v>18.034020953337922</c:v>
                </c:pt>
                <c:pt idx="2">
                  <c:v>19.1377494567394</c:v>
                </c:pt>
                <c:pt idx="3">
                  <c:v>20.234435205203273</c:v>
                </c:pt>
                <c:pt idx="4">
                  <c:v>21.325098796959839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1.8875252707415877</c:v>
                </c:pt>
                <c:pt idx="1">
                  <c:v>3.8982083525087177</c:v>
                </c:pt>
                <c:pt idx="2">
                  <c:v>4.5447326559326235</c:v>
                </c:pt>
                <c:pt idx="3">
                  <c:v>5.7920744619288698</c:v>
                </c:pt>
                <c:pt idx="4">
                  <c:v>7.6760275786516914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6-4435-B119-EFD6744B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HeapSort- </a:t>
            </a:r>
            <a:r>
              <a:rPr lang="en-US" b="0"/>
              <a:t>lg(Time w/o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17.844572577173885</c:v>
                </c:pt>
                <c:pt idx="1">
                  <c:v>18.962256813010633</c:v>
                </c:pt>
                <c:pt idx="2">
                  <c:v>20.071032118063393</c:v>
                </c:pt>
                <c:pt idx="3">
                  <c:v>21.17217891846871</c:v>
                </c:pt>
                <c:pt idx="4">
                  <c:v>22.266690986292595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1.7441610955704101</c:v>
                </c:pt>
                <c:pt idx="1">
                  <c:v>2.8539956471763932</c:v>
                </c:pt>
                <c:pt idx="2">
                  <c:v>4.1937717433966801</c:v>
                </c:pt>
                <c:pt idx="3">
                  <c:v>5.1399605695454564</c:v>
                </c:pt>
                <c:pt idx="4">
                  <c:v>6.9903876518027444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F-458A-A825-07C8AE4B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HeapSort- </a:t>
            </a:r>
            <a:r>
              <a:rPr lang="en-US" b="0"/>
              <a:t>lg(Time w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Sheet1!$D$21:$D$25</c:f>
              <c:numCache>
                <c:formatCode>General</c:formatCode>
                <c:ptCount val="5"/>
                <c:pt idx="0">
                  <c:v>19.883920238234339</c:v>
                </c:pt>
                <c:pt idx="1">
                  <c:v>20.998585058631406</c:v>
                </c:pt>
                <c:pt idx="2">
                  <c:v>22.104776420415668</c:v>
                </c:pt>
                <c:pt idx="3">
                  <c:v>23.203642852183084</c:v>
                </c:pt>
                <c:pt idx="4">
                  <c:v>24.296190452996882</c:v>
                </c:pt>
              </c:numCache>
            </c:numRef>
          </c:xVal>
          <c:yVal>
            <c:numRef>
              <c:f>Sheet1!$F$21:$F$25</c:f>
              <c:numCache>
                <c:formatCode>General</c:formatCode>
                <c:ptCount val="5"/>
                <c:pt idx="0">
                  <c:v>1.8875252707415877</c:v>
                </c:pt>
                <c:pt idx="1">
                  <c:v>3.8982083525087177</c:v>
                </c:pt>
                <c:pt idx="2">
                  <c:v>4.5447326559326235</c:v>
                </c:pt>
                <c:pt idx="3">
                  <c:v>5.7920744619288698</c:v>
                </c:pt>
                <c:pt idx="4">
                  <c:v>7.6760275786516914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3-4A00-9D7A-490A3798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lg(compares)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16.890656750889693</c:v>
                </c:pt>
                <c:pt idx="1">
                  <c:v>18.004663064441011</c:v>
                </c:pt>
                <c:pt idx="2">
                  <c:v>19.110496895171345</c:v>
                </c:pt>
                <c:pt idx="3">
                  <c:v>20.20900350043879</c:v>
                </c:pt>
                <c:pt idx="4">
                  <c:v>21.301221124206613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3.0426443374084937</c:v>
                </c:pt>
                <c:pt idx="1">
                  <c:v>3.5849625007211565</c:v>
                </c:pt>
                <c:pt idx="2">
                  <c:v>3.9373443921502322</c:v>
                </c:pt>
                <c:pt idx="3">
                  <c:v>5.0946583426545438</c:v>
                </c:pt>
                <c:pt idx="4">
                  <c:v>6.2380225178257218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D-4732-BAA1-D906480A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lg(compares)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HeapSort- </a:t>
            </a:r>
            <a:r>
              <a:rPr lang="en-US" b="0"/>
              <a:t>lg(Time w/o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Sheet1!$B$21:$B$25</c:f>
              <c:numCache>
                <c:formatCode>General</c:formatCode>
                <c:ptCount val="5"/>
                <c:pt idx="0">
                  <c:v>17.844572577173885</c:v>
                </c:pt>
                <c:pt idx="1">
                  <c:v>18.962256813010633</c:v>
                </c:pt>
                <c:pt idx="2">
                  <c:v>20.071032118063393</c:v>
                </c:pt>
                <c:pt idx="3">
                  <c:v>21.17217891846871</c:v>
                </c:pt>
                <c:pt idx="4">
                  <c:v>22.266690986292595</c:v>
                </c:pt>
              </c:numCache>
            </c:numRef>
          </c:xVal>
          <c:yVal>
            <c:numRef>
              <c:f>Sheet1!$E$21:$E$25</c:f>
              <c:numCache>
                <c:formatCode>General</c:formatCode>
                <c:ptCount val="5"/>
                <c:pt idx="0">
                  <c:v>1.7441610955704101</c:v>
                </c:pt>
                <c:pt idx="1">
                  <c:v>2.8539956471763932</c:v>
                </c:pt>
                <c:pt idx="2">
                  <c:v>4.1937717433966801</c:v>
                </c:pt>
                <c:pt idx="3">
                  <c:v>5.1399605695454564</c:v>
                </c:pt>
                <c:pt idx="4">
                  <c:v>6.9903876518027444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0-4021-B340-098511C9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6655440640284"/>
          <c:y val="0.25083333333333335"/>
          <c:w val="0.85634079009704156"/>
          <c:h val="0.54074876057159527"/>
        </c:manualLayout>
      </c:layout>
      <c:scatterChart>
        <c:scatterStyle val="lineMarker"/>
        <c:varyColors val="0"/>
        <c:ser>
          <c:idx val="0"/>
          <c:order val="0"/>
          <c:tx>
            <c:v>lg(Time w instrumenting) vs lg(hits)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18.901722847605608</c:v>
                </c:pt>
                <c:pt idx="1">
                  <c:v>20.014947064359433</c:v>
                </c:pt>
                <c:pt idx="2">
                  <c:v>21.120055432692318</c:v>
                </c:pt>
                <c:pt idx="3">
                  <c:v>22.217979085265881</c:v>
                </c:pt>
                <c:pt idx="4">
                  <c:v>23.309600325123547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3.0426443374084937</c:v>
                </c:pt>
                <c:pt idx="1">
                  <c:v>3.5849625007211565</c:v>
                </c:pt>
                <c:pt idx="2">
                  <c:v>3.9373443921502322</c:v>
                </c:pt>
                <c:pt idx="3">
                  <c:v>5.0946583426545438</c:v>
                </c:pt>
                <c:pt idx="4">
                  <c:v>6.2380225178257218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B-4757-A38D-8CF0E84B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 instrumenting) vs lg(copies)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6655440640284"/>
          <c:y val="0.25083333333333335"/>
          <c:w val="0.85634079009704156"/>
          <c:h val="0.54074876057159527"/>
        </c:manualLayout>
      </c:layout>
      <c:scatterChart>
        <c:scatterStyle val="lineMarker"/>
        <c:varyColors val="0"/>
        <c:ser>
          <c:idx val="0"/>
          <c:order val="0"/>
          <c:tx>
            <c:v>lg(Time w instrumenting) vs lg(hits)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17.747143998186747</c:v>
                </c:pt>
                <c:pt idx="1">
                  <c:v>18.872674880270608</c:v>
                </c:pt>
                <c:pt idx="2">
                  <c:v>19.988152097690545</c:v>
                </c:pt>
                <c:pt idx="3">
                  <c:v>21.095067301607052</c:v>
                </c:pt>
                <c:pt idx="4">
                  <c:v>22.19460297515797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3.0426443374084937</c:v>
                </c:pt>
                <c:pt idx="1">
                  <c:v>3.5849625007211565</c:v>
                </c:pt>
                <c:pt idx="2">
                  <c:v>3.9373443921502322</c:v>
                </c:pt>
                <c:pt idx="3">
                  <c:v>5.0946583426545438</c:v>
                </c:pt>
                <c:pt idx="4">
                  <c:v>6.2380225178257218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0-4DDE-847B-B163AF3E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w/o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13.251491286895456</c:v>
                </c:pt>
                <c:pt idx="1">
                  <c:v>14.251219056275948</c:v>
                </c:pt>
                <c:pt idx="2">
                  <c:v>15.252797353193616</c:v>
                </c:pt>
                <c:pt idx="3">
                  <c:v>16.253436462176804</c:v>
                </c:pt>
                <c:pt idx="4">
                  <c:v>17.252595217612075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2.5704629310260412</c:v>
                </c:pt>
                <c:pt idx="1">
                  <c:v>4.0635029423061582</c:v>
                </c:pt>
                <c:pt idx="2">
                  <c:v>4.1464923069771897</c:v>
                </c:pt>
                <c:pt idx="3">
                  <c:v>4.9602336716944544</c:v>
                </c:pt>
                <c:pt idx="4">
                  <c:v>6.3720814835345001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1-4B7F-8BAC-219766AB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w/o instrumenting) vs lg(compares)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lg(compares)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16.890656750889693</c:v>
                </c:pt>
                <c:pt idx="1">
                  <c:v>18.004663064441011</c:v>
                </c:pt>
                <c:pt idx="2">
                  <c:v>19.110496895171345</c:v>
                </c:pt>
                <c:pt idx="3">
                  <c:v>20.20900350043879</c:v>
                </c:pt>
                <c:pt idx="4">
                  <c:v>21.301221124206613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2.5704629310260412</c:v>
                </c:pt>
                <c:pt idx="1">
                  <c:v>4.0635029423061582</c:v>
                </c:pt>
                <c:pt idx="2">
                  <c:v>4.1464923069771897</c:v>
                </c:pt>
                <c:pt idx="3">
                  <c:v>4.9602336716944544</c:v>
                </c:pt>
                <c:pt idx="4">
                  <c:v>6.3720814835345001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5-4553-B0D2-95B9676B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lg(compares)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w/o instrumenting) vs lg(hits)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6655440640284"/>
          <c:y val="0.25083333333333335"/>
          <c:w val="0.85634079009704156"/>
          <c:h val="0.54074876057159527"/>
        </c:manualLayout>
      </c:layout>
      <c:scatterChart>
        <c:scatterStyle val="lineMarker"/>
        <c:varyColors val="0"/>
        <c:ser>
          <c:idx val="0"/>
          <c:order val="0"/>
          <c:tx>
            <c:v>lg(Time w instrumenting) vs lg(hits)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18.901722847605608</c:v>
                </c:pt>
                <c:pt idx="1">
                  <c:v>20.014947064359433</c:v>
                </c:pt>
                <c:pt idx="2">
                  <c:v>21.120055432692318</c:v>
                </c:pt>
                <c:pt idx="3">
                  <c:v>22.217979085265881</c:v>
                </c:pt>
                <c:pt idx="4">
                  <c:v>23.309600325123547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2.5704629310260412</c:v>
                </c:pt>
                <c:pt idx="1">
                  <c:v>4.0635029423061582</c:v>
                </c:pt>
                <c:pt idx="2">
                  <c:v>4.1464923069771897</c:v>
                </c:pt>
                <c:pt idx="3">
                  <c:v>4.9602336716944544</c:v>
                </c:pt>
                <c:pt idx="4">
                  <c:v>6.3720814835345001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B-4C31-AECF-855329B8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lg(hits)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MERGE SORT - </a:t>
            </a:r>
            <a:r>
              <a:rPr lang="en-US" b="0"/>
              <a:t>lg(Time w/o instrumenting) vs lg(copies)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6655440640284"/>
          <c:y val="0.25083333333333335"/>
          <c:w val="0.85634079009704156"/>
          <c:h val="0.54074876057159527"/>
        </c:manualLayout>
      </c:layout>
      <c:scatterChart>
        <c:scatterStyle val="lineMarker"/>
        <c:varyColors val="0"/>
        <c:ser>
          <c:idx val="0"/>
          <c:order val="0"/>
          <c:tx>
            <c:v>lg(Time w instrumenting) vs lg(hits)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17.747143998186747</c:v>
                </c:pt>
                <c:pt idx="1">
                  <c:v>18.872674880270608</c:v>
                </c:pt>
                <c:pt idx="2">
                  <c:v>19.988152097690545</c:v>
                </c:pt>
                <c:pt idx="3">
                  <c:v>21.095067301607052</c:v>
                </c:pt>
                <c:pt idx="4">
                  <c:v>22.19460297515797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2.5704629310260412</c:v>
                </c:pt>
                <c:pt idx="1">
                  <c:v>4.0635029423061582</c:v>
                </c:pt>
                <c:pt idx="2">
                  <c:v>4.1464923069771897</c:v>
                </c:pt>
                <c:pt idx="3">
                  <c:v>4.9602336716944544</c:v>
                </c:pt>
                <c:pt idx="4">
                  <c:v>6.3720814835345001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F-44CE-8ABC-0E731006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lg(copies)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QuickSortDualPivot - </a:t>
            </a:r>
            <a:r>
              <a:rPr lang="en-US" b="0"/>
              <a:t>lg(Time w instrumenting) vs lg(swaps)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lg(Time w instrumenting) vs lg(swaps)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Sheet1!$C$12:$C$16</c:f>
              <c:numCache>
                <c:formatCode>General</c:formatCode>
                <c:ptCount val="5"/>
                <c:pt idx="0">
                  <c:v>15.987985845252332</c:v>
                </c:pt>
                <c:pt idx="1">
                  <c:v>17.100774942509986</c:v>
                </c:pt>
                <c:pt idx="2">
                  <c:v>18.2156480755663</c:v>
                </c:pt>
                <c:pt idx="3">
                  <c:v>19.304237514727077</c:v>
                </c:pt>
                <c:pt idx="4">
                  <c:v>20.414586662315813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2.176322772640463</c:v>
                </c:pt>
                <c:pt idx="1">
                  <c:v>2.5993177936982264</c:v>
                </c:pt>
                <c:pt idx="2">
                  <c:v>3.7980505147675148</c:v>
                </c:pt>
                <c:pt idx="3">
                  <c:v>4.9259994185562235</c:v>
                </c:pt>
                <c:pt idx="4">
                  <c:v>6.1906148602094984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8-4852-82F0-79081D0A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89040"/>
        <c:axId val="713491152"/>
      </c:scatterChart>
      <c:valAx>
        <c:axId val="7134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lg(swaps)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1152"/>
        <c:crosses val="autoZero"/>
        <c:crossBetween val="midCat"/>
      </c:valAx>
      <c:valAx>
        <c:axId val="713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lg(Time)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791046952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25</xdr:row>
      <xdr:rowOff>177800</xdr:rowOff>
    </xdr:from>
    <xdr:to>
      <xdr:col>5</xdr:col>
      <xdr:colOff>63500</xdr:colOff>
      <xdr:row>40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4A54F-6EC2-6B1B-D984-6539415D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42</xdr:row>
      <xdr:rowOff>31750</xdr:rowOff>
    </xdr:from>
    <xdr:to>
      <xdr:col>5</xdr:col>
      <xdr:colOff>76200</xdr:colOff>
      <xdr:row>57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36E82-37A6-461B-ACE9-DBAE943C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58</xdr:row>
      <xdr:rowOff>31750</xdr:rowOff>
    </xdr:from>
    <xdr:to>
      <xdr:col>5</xdr:col>
      <xdr:colOff>63500</xdr:colOff>
      <xdr:row>73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78EE64-5F20-4D6B-9CB2-F496C26A3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74</xdr:row>
      <xdr:rowOff>12700</xdr:rowOff>
    </xdr:from>
    <xdr:to>
      <xdr:col>5</xdr:col>
      <xdr:colOff>31750</xdr:colOff>
      <xdr:row>88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2668EE-9A4D-4E6B-BB1C-19960258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279400</xdr:colOff>
      <xdr:row>25</xdr:row>
      <xdr:rowOff>171450</xdr:rowOff>
    </xdr:from>
    <xdr:to>
      <xdr:col>10</xdr:col>
      <xdr:colOff>88900</xdr:colOff>
      <xdr:row>40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E8A6B2-80CC-4EDB-91F8-CBC8F771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42</xdr:row>
      <xdr:rowOff>63500</xdr:rowOff>
    </xdr:from>
    <xdr:to>
      <xdr:col>10</xdr:col>
      <xdr:colOff>50800</xdr:colOff>
      <xdr:row>57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CD64B5-429E-4F56-A00B-762A577D2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215900</xdr:colOff>
      <xdr:row>58</xdr:row>
      <xdr:rowOff>57150</xdr:rowOff>
    </xdr:from>
    <xdr:to>
      <xdr:col>10</xdr:col>
      <xdr:colOff>38100</xdr:colOff>
      <xdr:row>73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2C18DE-EDD8-478B-B6E7-2A363536C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209550</xdr:colOff>
      <xdr:row>74</xdr:row>
      <xdr:rowOff>31750</xdr:rowOff>
    </xdr:from>
    <xdr:to>
      <xdr:col>9</xdr:col>
      <xdr:colOff>603250</xdr:colOff>
      <xdr:row>89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7E9E36-42FA-4169-BEB5-78BA4E09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5</xdr:col>
      <xdr:colOff>19050</xdr:colOff>
      <xdr:row>104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9C35F6-6394-4B92-8603-03891063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203200</xdr:colOff>
      <xdr:row>90</xdr:row>
      <xdr:rowOff>19050</xdr:rowOff>
    </xdr:from>
    <xdr:to>
      <xdr:col>10</xdr:col>
      <xdr:colOff>520700</xdr:colOff>
      <xdr:row>105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7E8851-6FA4-4069-9150-3D05ED21B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5</xdr:col>
      <xdr:colOff>19050</xdr:colOff>
      <xdr:row>120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E064F4-DD35-45E9-B16C-96F34ECD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106</xdr:row>
      <xdr:rowOff>0</xdr:rowOff>
    </xdr:from>
    <xdr:to>
      <xdr:col>10</xdr:col>
      <xdr:colOff>508000</xdr:colOff>
      <xdr:row>120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A7C3DF-8939-4411-93EB-6F2146670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19050</xdr:colOff>
      <xdr:row>136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DAAA59-ABC7-4E42-876A-947A056A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122</xdr:row>
      <xdr:rowOff>31750</xdr:rowOff>
    </xdr:from>
    <xdr:to>
      <xdr:col>10</xdr:col>
      <xdr:colOff>558800</xdr:colOff>
      <xdr:row>137</xdr:row>
      <xdr:rowOff>12700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7CF0B28-4637-47CE-92B7-E74D83CAB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5</xdr:col>
      <xdr:colOff>19050</xdr:colOff>
      <xdr:row>153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FE1EC0A-DF98-49A3-84E8-C684C376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298450</xdr:colOff>
      <xdr:row>139</xdr:row>
      <xdr:rowOff>0</xdr:rowOff>
    </xdr:from>
    <xdr:to>
      <xdr:col>10</xdr:col>
      <xdr:colOff>57150</xdr:colOff>
      <xdr:row>153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FAD5CC-F0C6-4EBF-B573-18FE38210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19050</xdr:colOff>
      <xdr:row>156</xdr:row>
      <xdr:rowOff>0</xdr:rowOff>
    </xdr:from>
    <xdr:to>
      <xdr:col>5</xdr:col>
      <xdr:colOff>38100</xdr:colOff>
      <xdr:row>170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FA897F-1B05-4F3D-A42B-B7219668C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273050</xdr:colOff>
      <xdr:row>156</xdr:row>
      <xdr:rowOff>50800</xdr:rowOff>
    </xdr:from>
    <xdr:to>
      <xdr:col>10</xdr:col>
      <xdr:colOff>31750</xdr:colOff>
      <xdr:row>171</xdr:row>
      <xdr:rowOff>31750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D9EF52-238A-4AC4-8138-F7EAFF04E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5</xdr:col>
      <xdr:colOff>19050</xdr:colOff>
      <xdr:row>186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180F29C-8BAF-43AC-A22F-825D0F9EA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266700</xdr:colOff>
      <xdr:row>172</xdr:row>
      <xdr:rowOff>6350</xdr:rowOff>
    </xdr:from>
    <xdr:to>
      <xdr:col>10</xdr:col>
      <xdr:colOff>25400</xdr:colOff>
      <xdr:row>186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A78C02A-2407-406D-BEF8-04C88A384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61CA-2DC4-4552-953A-3D6C89E63261}">
  <dimension ref="A1:G25"/>
  <sheetViews>
    <sheetView tabSelected="1" topLeftCell="A169" workbookViewId="0">
      <selection activeCell="A20" sqref="A20:F25"/>
    </sheetView>
  </sheetViews>
  <sheetFormatPr defaultRowHeight="14.5" x14ac:dyDescent="0.35"/>
  <cols>
    <col min="2" max="2" width="13.1796875" bestFit="1" customWidth="1"/>
    <col min="3" max="3" width="10.1796875" bestFit="1" customWidth="1"/>
    <col min="4" max="4" width="8.08984375" bestFit="1" customWidth="1"/>
    <col min="5" max="5" width="25.26953125" bestFit="1" customWidth="1"/>
    <col min="6" max="6" width="25.54296875" bestFit="1" customWidth="1"/>
    <col min="7" max="7" width="23.7265625" bestFit="1" customWidth="1"/>
  </cols>
  <sheetData>
    <row r="1" spans="1:7" x14ac:dyDescent="0.35">
      <c r="A1" s="2" t="s">
        <v>6</v>
      </c>
      <c r="F1" s="1"/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s="3" t="s">
        <v>9</v>
      </c>
      <c r="F2" t="s">
        <v>4</v>
      </c>
      <c r="G2" s="1" t="s">
        <v>5</v>
      </c>
    </row>
    <row r="3" spans="1:7" x14ac:dyDescent="0.35">
      <c r="A3">
        <v>10000</v>
      </c>
      <c r="B3">
        <f>LOG(121505.05,2)</f>
        <v>16.890656750889693</v>
      </c>
      <c r="C3">
        <f>LOG(9752.06,2)</f>
        <v>13.251491286895456</v>
      </c>
      <c r="D3">
        <f>LOG(489762.52,2)</f>
        <v>18.901722847605608</v>
      </c>
      <c r="E3" s="3">
        <f>LOG(220000,2)</f>
        <v>17.747143998186747</v>
      </c>
      <c r="F3">
        <f>LOG(5.94,2)</f>
        <v>2.5704629310260412</v>
      </c>
      <c r="G3">
        <f>LOG(8.24,2)</f>
        <v>3.0426443374084937</v>
      </c>
    </row>
    <row r="4" spans="1:7" x14ac:dyDescent="0.35">
      <c r="A4">
        <v>20000</v>
      </c>
      <c r="B4">
        <f>LOG(262992.67,2)</f>
        <v>18.004663064441011</v>
      </c>
      <c r="C4">
        <f>LOG(19500.44,2)</f>
        <v>14.251219056275948</v>
      </c>
      <c r="D4">
        <f>LOG(1059496.26,2)</f>
        <v>20.014947064359433</v>
      </c>
      <c r="E4" s="3">
        <f>LOG(480000,2)</f>
        <v>18.872674880270608</v>
      </c>
      <c r="F4">
        <f>LOG(16.72,2)</f>
        <v>4.0635029423061582</v>
      </c>
      <c r="G4">
        <f>LOG(12,2)</f>
        <v>3.5849625007211565</v>
      </c>
    </row>
    <row r="5" spans="1:7" x14ac:dyDescent="0.35">
      <c r="A5">
        <v>40000</v>
      </c>
      <c r="B5">
        <f>LOG(566021.33,2)</f>
        <v>19.110496895171345</v>
      </c>
      <c r="C5">
        <f>LOG(39043.57,2)</f>
        <v>15.252797353193616</v>
      </c>
      <c r="D5">
        <f>LOG(2279135.76,2)</f>
        <v>21.120055432692318</v>
      </c>
      <c r="E5" s="3">
        <f>LOG(1040000,2)</f>
        <v>19.988152097690545</v>
      </c>
      <c r="F5">
        <f>LOG(17.71,2)</f>
        <v>4.1464923069771897</v>
      </c>
      <c r="G5">
        <f>LOG(15.32,2)</f>
        <v>3.9373443921502322</v>
      </c>
    </row>
    <row r="6" spans="1:7" x14ac:dyDescent="0.35">
      <c r="A6">
        <v>80000</v>
      </c>
      <c r="B6">
        <f>LOG(1212038,2)</f>
        <v>20.20900350043879</v>
      </c>
      <c r="C6">
        <f>LOG(78121.74,2)</f>
        <v>16.253436462176804</v>
      </c>
      <c r="D6">
        <f>LOG(4878408.32,2)</f>
        <v>22.217979085265881</v>
      </c>
      <c r="E6" s="3">
        <f>LOG(2240000,2)</f>
        <v>21.095067301607052</v>
      </c>
      <c r="F6">
        <f>LOG(31.13,2)</f>
        <v>4.9602336716944544</v>
      </c>
      <c r="G6">
        <f>LOG(34.17,2)</f>
        <v>5.0946583426545438</v>
      </c>
    </row>
    <row r="7" spans="1:7" x14ac:dyDescent="0.35">
      <c r="A7">
        <v>160000</v>
      </c>
      <c r="B7">
        <f>LOG(2584083.26,2)</f>
        <v>21.301221124206613</v>
      </c>
      <c r="C7">
        <f>LOG(156152.4,2)</f>
        <v>17.252595217612075</v>
      </c>
      <c r="D7">
        <f>LOG(10396541.34,2)</f>
        <v>23.309600325123547</v>
      </c>
      <c r="E7" s="3">
        <f>LOG(4800000,2)</f>
        <v>22.19460297515797</v>
      </c>
      <c r="F7">
        <f>LOG(82.83,2)</f>
        <v>6.3720814835345001</v>
      </c>
      <c r="G7">
        <f>LOG(75.48,2)</f>
        <v>6.2380225178257218</v>
      </c>
    </row>
    <row r="10" spans="1:7" x14ac:dyDescent="0.35">
      <c r="A10" s="2" t="s">
        <v>8</v>
      </c>
    </row>
    <row r="11" spans="1:7" x14ac:dyDescent="0.3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1" t="s">
        <v>5</v>
      </c>
    </row>
    <row r="12" spans="1:7" x14ac:dyDescent="0.35">
      <c r="A12">
        <v>10000</v>
      </c>
      <c r="B12">
        <f>LOG(156299.63,2)</f>
        <v>17.253954837561356</v>
      </c>
      <c r="C12">
        <f>LOG(64992.51,2)</f>
        <v>15.987985845252332</v>
      </c>
      <c r="D12">
        <f>LOG(419040.29,2)</f>
        <v>18.67672943766631</v>
      </c>
      <c r="E12">
        <f>LOG(3.31,2)</f>
        <v>1.7268312170324931</v>
      </c>
      <c r="F12">
        <f>LOG(4.52,2)</f>
        <v>2.176322772640463</v>
      </c>
    </row>
    <row r="13" spans="1:7" x14ac:dyDescent="0.35">
      <c r="A13">
        <v>20000</v>
      </c>
      <c r="B13">
        <f>LOG(338258.38,2)</f>
        <v>18.367766150352402</v>
      </c>
      <c r="C13">
        <f>LOG(140554.97,2)</f>
        <v>17.100774942509986</v>
      </c>
      <c r="D13">
        <f>LOG(906000.33,2)</f>
        <v>19.789152050193177</v>
      </c>
      <c r="E13">
        <f>LOG(5,2)</f>
        <v>2.3219280948873622</v>
      </c>
      <c r="F13">
        <f>LOG(6.06,2)</f>
        <v>2.5993177936982264</v>
      </c>
    </row>
    <row r="14" spans="1:7" x14ac:dyDescent="0.35">
      <c r="A14">
        <v>40000</v>
      </c>
      <c r="B14">
        <f>LOG(736159.53,2)</f>
        <v>19.489658914904314</v>
      </c>
      <c r="C14">
        <f>LOG(304408.28,2)</f>
        <v>18.2156480755663</v>
      </c>
      <c r="D14">
        <f>LOG(1964835.79,2)</f>
        <v>20.905977314453356</v>
      </c>
      <c r="E14">
        <f>LOG(9.94,2)</f>
        <v>3.3132458517875611</v>
      </c>
      <c r="F14">
        <f>LOG(13.91,2)</f>
        <v>3.7980505147675148</v>
      </c>
    </row>
    <row r="15" spans="1:7" x14ac:dyDescent="0.35">
      <c r="A15">
        <v>80000</v>
      </c>
      <c r="B15">
        <f>LOG(1582429.09,2)</f>
        <v>20.593709422028393</v>
      </c>
      <c r="C15">
        <f>LOG(647372.93,2)</f>
        <v>19.304237514727077</v>
      </c>
      <c r="D15">
        <f>LOG(4194033.91,2)</f>
        <v>21.999907095420355</v>
      </c>
      <c r="E15">
        <f>LOG(23,2)</f>
        <v>4.5235619560570131</v>
      </c>
      <c r="F15">
        <f>LOG(30.4,2)</f>
        <v>4.9259994185562235</v>
      </c>
    </row>
    <row r="16" spans="1:7" x14ac:dyDescent="0.35">
      <c r="A16">
        <v>160000</v>
      </c>
      <c r="B16">
        <f>LOG(3385488.91,2)</f>
        <v>21.690932762681058</v>
      </c>
      <c r="C16">
        <f>LOG(1397664.5,2)</f>
        <v>20.414586662315813</v>
      </c>
      <c r="D16">
        <f>LOG(9020251.49,2)</f>
        <v>23.104736226565134</v>
      </c>
      <c r="E16">
        <f>LOG(68.54,2)</f>
        <v>6.0988742867444499</v>
      </c>
      <c r="F16">
        <f>LOG(73.04,2)</f>
        <v>6.1906148602094984</v>
      </c>
    </row>
    <row r="19" spans="1:6" x14ac:dyDescent="0.35">
      <c r="A19" s="2" t="s">
        <v>7</v>
      </c>
    </row>
    <row r="20" spans="1:6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1" t="s">
        <v>5</v>
      </c>
    </row>
    <row r="21" spans="1:6" x14ac:dyDescent="0.35">
      <c r="A21">
        <v>10000</v>
      </c>
      <c r="B21">
        <f>LOG(235370.27,2)</f>
        <v>17.844572577173885</v>
      </c>
      <c r="C21">
        <f>LOG(124192.9,2)</f>
        <v>16.922223172732885</v>
      </c>
      <c r="D21">
        <f>LOG(967512.14,2)</f>
        <v>19.883920238234339</v>
      </c>
      <c r="E21">
        <f>LOG(3.35,2)</f>
        <v>1.7441610955704101</v>
      </c>
      <c r="F21">
        <f>LOG(3.7,2)</f>
        <v>1.8875252707415877</v>
      </c>
    </row>
    <row r="22" spans="1:6" x14ac:dyDescent="0.35">
      <c r="A22">
        <v>20000</v>
      </c>
      <c r="B22">
        <f>LOG(510749.66,2)</f>
        <v>18.962256813010633</v>
      </c>
      <c r="C22">
        <f>LOG(268399.22,2)</f>
        <v>18.034020953337922</v>
      </c>
      <c r="D22">
        <f>LOG(2095096.2,2)</f>
        <v>20.998585058631406</v>
      </c>
      <c r="E22">
        <f>LOG(7.23,2)</f>
        <v>2.8539956471763932</v>
      </c>
      <c r="F22">
        <f>LOG(14.91,2)</f>
        <v>3.8982083525087177</v>
      </c>
    </row>
    <row r="23" spans="1:6" x14ac:dyDescent="0.35">
      <c r="A23">
        <v>40000</v>
      </c>
      <c r="B23">
        <f>LOG(1101495.46,2)</f>
        <v>20.071032118063393</v>
      </c>
      <c r="C23">
        <f>LOG(576815.12,2)</f>
        <v>19.1377494567394</v>
      </c>
      <c r="D23">
        <f>LOG(4510251.4,2)</f>
        <v>22.104776420415668</v>
      </c>
      <c r="E23">
        <f>LOG(18.3,2)</f>
        <v>4.1937717433966801</v>
      </c>
      <c r="F23">
        <f>LOG(23.34,2)</f>
        <v>4.5447326559326235</v>
      </c>
    </row>
    <row r="24" spans="1:6" x14ac:dyDescent="0.35">
      <c r="A24">
        <v>80000</v>
      </c>
      <c r="B24">
        <f>LOG(2362984.8,2)</f>
        <v>21.17217891846871</v>
      </c>
      <c r="C24">
        <f>LOG(1233593.13,2)</f>
        <v>20.234435205203273</v>
      </c>
      <c r="D24">
        <f>LOG(9660342.12,2)</f>
        <v>23.203642852183084</v>
      </c>
      <c r="E24">
        <f>LOG(35.26,2)</f>
        <v>5.1399605695454564</v>
      </c>
      <c r="F24">
        <f>LOG(55.41,2)</f>
        <v>5.7920744619288698</v>
      </c>
    </row>
    <row r="25" spans="1:6" x14ac:dyDescent="0.35">
      <c r="A25">
        <v>160000</v>
      </c>
      <c r="B25">
        <f>LOG(5045937.78,2)</f>
        <v>22.266690986292595</v>
      </c>
      <c r="C25">
        <f>LOG(2627207.64,2)</f>
        <v>21.325098796959839</v>
      </c>
      <c r="D25">
        <f>LOG(20600706.12,2)</f>
        <v>24.296190452996882</v>
      </c>
      <c r="E25">
        <f>LOG(127.15,2)</f>
        <v>6.9903876518027444</v>
      </c>
      <c r="F25">
        <f>LOG(204.51,2)</f>
        <v>7.6760275786516914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2023-03-13T05:04:04Z</dcterms:created>
  <dcterms:modified xsi:type="dcterms:W3CDTF">2023-03-13T08:15:07Z</dcterms:modified>
</cp:coreProperties>
</file>