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 Data" sheetId="1" r:id="rId3"/>
    <sheet state="visible" name="S3" sheetId="2" r:id="rId4"/>
    <sheet state="visible" name="HDFS" sheetId="3" r:id="rId5"/>
    <sheet state="visible" name="FusionFS" sheetId="4" r:id="rId6"/>
    <sheet state="visible" name="CephFS" sheetId="5" r:id="rId7"/>
    <sheet state="visible" name="S3FS" sheetId="6" r:id="rId8"/>
    <sheet state="visible" name="Tasks" sheetId="7" r:id="rId9"/>
    <sheet state="visible" name="Other Data Ceph &amp; Fusion" sheetId="8" r:id="rId10"/>
    <sheet state="visible" name="S3_dummy " sheetId="9" r:id="rId1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T51">
      <text>
        <t xml:space="preserve">Akash &lt;-- Investigate, why it took this much time
	-Akash Mahakode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S51">
      <text>
        <t xml:space="preserve">So for reading 1*10GB, little difference exists between 4 nodes and 16 nodes. But for 100*100MB, the reading time boosted from 17x seconds to 45x seconds?
	-Dongfang Zhao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S57">
      <text>
        <t xml:space="preserve">This will create all 1000 files in one shot
	-Akash Mahakode</t>
      </text>
    </comment>
    <comment authorId="0" ref="R57">
      <text>
        <t xml:space="preserve">This will create 1 file at a time
	-Akash Mahakode</t>
      </text>
    </comment>
  </commentList>
</comments>
</file>

<file path=xl/sharedStrings.xml><?xml version="1.0" encoding="utf-8"?>
<sst xmlns="http://schemas.openxmlformats.org/spreadsheetml/2006/main" count="2209" uniqueCount="673">
  <si>
    <t>Read</t>
  </si>
  <si>
    <t>4 Nodes</t>
  </si>
  <si>
    <t>16 Nodes</t>
  </si>
  <si>
    <t>64 Nodes</t>
  </si>
  <si>
    <t>HDFS</t>
  </si>
  <si>
    <t>S3</t>
  </si>
  <si>
    <t>CephFS</t>
  </si>
  <si>
    <t>FusionFS</t>
  </si>
  <si>
    <t>10000x1024</t>
  </si>
  <si>
    <t>1000x10240</t>
  </si>
  <si>
    <t>1000x102400</t>
  </si>
  <si>
    <t>1000x1024000</t>
  </si>
  <si>
    <t>1000x10240000</t>
  </si>
  <si>
    <t>100x102400000</t>
  </si>
  <si>
    <t>10x1024000000</t>
  </si>
  <si>
    <t>1x10240000000</t>
  </si>
  <si>
    <t>Write</t>
  </si>
  <si>
    <t>Touch Evaluation</t>
  </si>
  <si>
    <t>0 byte Evaluation in operations per second</t>
  </si>
  <si>
    <t>0 byte Write Evaluation in operations per second</t>
  </si>
  <si>
    <t>Metadata</t>
  </si>
  <si>
    <t>4 Nodes Read</t>
  </si>
  <si>
    <t>4 Nodes Write</t>
  </si>
  <si>
    <t>16 Nodes Read</t>
  </si>
  <si>
    <t>16 Nodes Write</t>
  </si>
  <si>
    <t>64 Nodes Read</t>
  </si>
  <si>
    <t>64 Nodes Write</t>
  </si>
  <si>
    <t>1 node</t>
  </si>
  <si>
    <t>4 nodes</t>
  </si>
  <si>
    <t>16 nodes</t>
  </si>
  <si>
    <t>64 nodes</t>
  </si>
  <si>
    <t>Operation</t>
  </si>
  <si>
    <t>0kb (10000)</t>
  </si>
  <si>
    <t>1 kb (10000)</t>
  </si>
  <si>
    <t>10 kb (1000)</t>
  </si>
  <si>
    <t>100 kb (1000)</t>
  </si>
  <si>
    <t>1 MB (1000)</t>
  </si>
  <si>
    <t>10 MB (1000)</t>
  </si>
  <si>
    <t>100 MB (100)</t>
  </si>
  <si>
    <t>1 GB (10)</t>
  </si>
  <si>
    <t>10 GB (1)</t>
  </si>
  <si>
    <t>No. of Files per Node</t>
  </si>
  <si>
    <t>Size per file</t>
  </si>
  <si>
    <t>node-1</t>
  </si>
  <si>
    <t>node-2</t>
  </si>
  <si>
    <t>node-3</t>
  </si>
  <si>
    <t>node-4</t>
  </si>
  <si>
    <t>Average</t>
  </si>
  <si>
    <t>Throughput</t>
  </si>
  <si>
    <t>Files per Node</t>
  </si>
  <si>
    <t>S3FS</t>
  </si>
  <si>
    <t>Size (byte)</t>
  </si>
  <si>
    <t>Count</t>
  </si>
  <si>
    <t>Nodes</t>
  </si>
  <si>
    <t>Average (in sec.)</t>
  </si>
  <si>
    <t>Size</t>
  </si>
  <si>
    <t>1024 (1KB)</t>
  </si>
  <si>
    <t>10240 (10 KB)</t>
  </si>
  <si>
    <t>102400 (100KB)</t>
  </si>
  <si>
    <t>1024000 (1MB)</t>
  </si>
  <si>
    <t>10240000 (10 MB)</t>
  </si>
  <si>
    <t>102400000 (100 MB)</t>
  </si>
  <si>
    <t>1024000000 (1 GB)</t>
  </si>
  <si>
    <t>10240000000 (10 GB)</t>
  </si>
  <si>
    <t>0 (0 KB)</t>
  </si>
  <si>
    <t>In MB/sec</t>
  </si>
  <si>
    <t>Instance type</t>
  </si>
  <si>
    <t>i2.xlarge</t>
  </si>
  <si>
    <t>Creating one file at a time</t>
  </si>
  <si>
    <t>Creating 1000 files in single command</t>
  </si>
  <si>
    <t xml:space="preserve">haddop fs -touchz file1 ; haddop fs -touchz file2 and so on              </t>
  </si>
  <si>
    <t>haddop fs -touchz file1 file2 file3 .... file1000</t>
  </si>
  <si>
    <t>Time taken in seconds</t>
  </si>
  <si>
    <t>Instances #</t>
  </si>
  <si>
    <t>For files of size 1 gb, all 10 files are not copied but 7-8 files are copied</t>
  </si>
  <si>
    <t>-</t>
  </si>
  <si>
    <t>Avg (Sec.)</t>
  </si>
  <si>
    <t>m3.large instances</t>
  </si>
  <si>
    <t>Touch 10000 Files</t>
  </si>
  <si>
    <t>mkdir some_dir_in_s3;   cd some_dir_in_s3 ; time for i in {1..10000}; do touch $i.txt; done</t>
  </si>
  <si>
    <t>for i in {1..10000}; do echo $i.txt &gt;&gt; tempFile; done     tr '\n' ' ' &lt; tempFile &gt; tempFile1                                                  var=`cat tempFile1` mkdir some_dir_in_s3;   cd some_dir_in_s3  time touch $var</t>
  </si>
  <si>
    <t>File Size</t>
  </si>
  <si>
    <t>1kb</t>
  </si>
  <si>
    <t>10kb</t>
  </si>
  <si>
    <t>100kb</t>
  </si>
  <si>
    <t>1mb</t>
  </si>
  <si>
    <t>10mb</t>
  </si>
  <si>
    <t>100mb</t>
  </si>
  <si>
    <t>1gb</t>
  </si>
  <si>
    <t>10gb</t>
  </si>
  <si>
    <t>metadata</t>
  </si>
  <si>
    <t>0kb</t>
  </si>
  <si>
    <t>File Count</t>
  </si>
  <si>
    <t>0 byte</t>
  </si>
  <si>
    <t>Touch</t>
  </si>
  <si>
    <t>touch</t>
  </si>
  <si>
    <t>node-5</t>
  </si>
  <si>
    <t>node-6</t>
  </si>
  <si>
    <t>node-7</t>
  </si>
  <si>
    <t>node-8</t>
  </si>
  <si>
    <t>node-9</t>
  </si>
  <si>
    <t>node-10</t>
  </si>
  <si>
    <t>node-11</t>
  </si>
  <si>
    <t>node-12</t>
  </si>
  <si>
    <t>node-13</t>
  </si>
  <si>
    <t>node-14</t>
  </si>
  <si>
    <t>node-15</t>
  </si>
  <si>
    <t>node-16</t>
  </si>
  <si>
    <t>node-17</t>
  </si>
  <si>
    <t>node-18</t>
  </si>
  <si>
    <t>node-19</t>
  </si>
  <si>
    <t>node-20</t>
  </si>
  <si>
    <t>node-21</t>
  </si>
  <si>
    <t>node-22</t>
  </si>
  <si>
    <t>node-23</t>
  </si>
  <si>
    <t>node-24</t>
  </si>
  <si>
    <t>node-25</t>
  </si>
  <si>
    <t>node-26</t>
  </si>
  <si>
    <t>node-27</t>
  </si>
  <si>
    <t>node-28</t>
  </si>
  <si>
    <t>node-29</t>
  </si>
  <si>
    <t>node-30</t>
  </si>
  <si>
    <t>node-31</t>
  </si>
  <si>
    <t>node-32</t>
  </si>
  <si>
    <t>node-33</t>
  </si>
  <si>
    <t>node-34</t>
  </si>
  <si>
    <t>node-35</t>
  </si>
  <si>
    <t>node-36</t>
  </si>
  <si>
    <t>node-37</t>
  </si>
  <si>
    <t>node-38</t>
  </si>
  <si>
    <t>node-39</t>
  </si>
  <si>
    <t>node-40</t>
  </si>
  <si>
    <t>node-41</t>
  </si>
  <si>
    <t>node-42</t>
  </si>
  <si>
    <t>node-43</t>
  </si>
  <si>
    <t>node-44</t>
  </si>
  <si>
    <t>node-45</t>
  </si>
  <si>
    <t>node-46</t>
  </si>
  <si>
    <t>node-47</t>
  </si>
  <si>
    <t>node-48</t>
  </si>
  <si>
    <t>node-49</t>
  </si>
  <si>
    <t>node-50</t>
  </si>
  <si>
    <t>node-51</t>
  </si>
  <si>
    <t>node-52</t>
  </si>
  <si>
    <t>node-53</t>
  </si>
  <si>
    <t>node-54</t>
  </si>
  <si>
    <t>node-55</t>
  </si>
  <si>
    <t>node-56</t>
  </si>
  <si>
    <t>node-57</t>
  </si>
  <si>
    <t>node-58</t>
  </si>
  <si>
    <t>node-59</t>
  </si>
  <si>
    <t>node-60</t>
  </si>
  <si>
    <t>node-61</t>
  </si>
  <si>
    <t>node-62</t>
  </si>
  <si>
    <t>node-63</t>
  </si>
  <si>
    <t>node-64</t>
  </si>
  <si>
    <t>0m14.599s</t>
  </si>
  <si>
    <t>0m6.985s</t>
  </si>
  <si>
    <t>0m15.642s</t>
  </si>
  <si>
    <t>0m15.794s</t>
  </si>
  <si>
    <t>0m10.570s</t>
  </si>
  <si>
    <t>0m10.552s</t>
  </si>
  <si>
    <t>0m23.615s</t>
  </si>
  <si>
    <t>0m21.860s</t>
  </si>
  <si>
    <t>0m24.895s</t>
  </si>
  <si>
    <t>0m25.556s</t>
  </si>
  <si>
    <t>0m17.575s</t>
  </si>
  <si>
    <t>0m16.151s</t>
  </si>
  <si>
    <t>0m17.188s</t>
  </si>
  <si>
    <t>0m19.086s</t>
  </si>
  <si>
    <t>Size per file in bytes</t>
  </si>
  <si>
    <t>Random Read</t>
  </si>
  <si>
    <t>1GB</t>
  </si>
  <si>
    <t>10GB</t>
  </si>
  <si>
    <t>Random R</t>
  </si>
  <si>
    <t>5m18.736s</t>
  </si>
  <si>
    <t>6m28.876s</t>
  </si>
  <si>
    <t>9m19.862s</t>
  </si>
  <si>
    <t>5m2.883s</t>
  </si>
  <si>
    <t>6m19.098s</t>
  </si>
  <si>
    <t>9m8.628s</t>
  </si>
  <si>
    <t>5m8.182s</t>
  </si>
  <si>
    <t>5m56.800s</t>
  </si>
  <si>
    <t>8m52.384s</t>
  </si>
  <si>
    <t>5m25.406s</t>
  </si>
  <si>
    <t>5m51.830s</t>
  </si>
  <si>
    <t>8m53.362s</t>
  </si>
  <si>
    <t>4m48.438s</t>
  </si>
  <si>
    <t>6m21.735s</t>
  </si>
  <si>
    <t>8m38.133s</t>
  </si>
  <si>
    <t>5m18.548s</t>
  </si>
  <si>
    <t>6m22.513s</t>
  </si>
  <si>
    <t>9m22.295s</t>
  </si>
  <si>
    <t>5m12.970s</t>
  </si>
  <si>
    <t>6m3.687s</t>
  </si>
  <si>
    <t>9m8.978s</t>
  </si>
  <si>
    <t>4m59.432s</t>
  </si>
  <si>
    <t>6m41.238s</t>
  </si>
  <si>
    <t>9m22.852s</t>
  </si>
  <si>
    <t>5m14.435s</t>
  </si>
  <si>
    <t>6m6.422s</t>
  </si>
  <si>
    <t>9m15.585s</t>
  </si>
  <si>
    <t>5m8.699s</t>
  </si>
  <si>
    <t>6m10.893s</t>
  </si>
  <si>
    <t>8m55.446s</t>
  </si>
  <si>
    <t>5m19.494s</t>
  </si>
  <si>
    <t>6m45.077s</t>
  </si>
  <si>
    <t>9m7.012s</t>
  </si>
  <si>
    <t>5m22.848s</t>
  </si>
  <si>
    <t>6m49.222s</t>
  </si>
  <si>
    <t>8m44.704s</t>
  </si>
  <si>
    <t>5m13.447s</t>
  </si>
  <si>
    <t>6m33.832s</t>
  </si>
  <si>
    <t>8m55.800s</t>
  </si>
  <si>
    <t>5m19.427s</t>
  </si>
  <si>
    <t>7m1.764s</t>
  </si>
  <si>
    <t>8m53.791s</t>
  </si>
  <si>
    <t>5m7.998s</t>
  </si>
  <si>
    <t>6m47.465s</t>
  </si>
  <si>
    <t>9m17.574s</t>
  </si>
  <si>
    <t>5m13.681s</t>
  </si>
  <si>
    <t>6m54.849s</t>
  </si>
  <si>
    <t>9m12.031s</t>
  </si>
  <si>
    <t>Average (in sec)</t>
  </si>
  <si>
    <t>30m20.510s</t>
  </si>
  <si>
    <t>13m19.738s</t>
  </si>
  <si>
    <t>33m37.245s</t>
  </si>
  <si>
    <t>30m21.014s</t>
  </si>
  <si>
    <t>34m36.866s</t>
  </si>
  <si>
    <t>64m18.351s</t>
  </si>
  <si>
    <t>63m39.511s</t>
  </si>
  <si>
    <t>64m7.376s</t>
  </si>
  <si>
    <t>65m10.364s</t>
  </si>
  <si>
    <t>13m46.542s</t>
  </si>
  <si>
    <t>13m36.423s</t>
  </si>
  <si>
    <t>12m48.482s</t>
  </si>
  <si>
    <t>13m31.571s</t>
  </si>
  <si>
    <t>Instance Type</t>
  </si>
  <si>
    <t>t2.micro</t>
  </si>
  <si>
    <t>Instance Count</t>
  </si>
  <si>
    <t>AMI</t>
  </si>
  <si>
    <t>Amazon Linux AMI 2015.09.2 (HVM), SSD Volume Type</t>
  </si>
  <si>
    <t>Setup</t>
  </si>
  <si>
    <t>sudo yum update
sudo yum install -y gcc libstdc++-devel gcc-c++ fuse fuse-devel curl-devel libxml2-devel mailcap automake openssl-devel git 
git clone https://github.com/s3fs-fuse/s3fs-fuse
cd s3fs-fuse/
./autogen.sh
./configure --prefix=/usr --with-openssl
make
sudo make install
echo AKIAIO7SLI6DHXNFBMNA:8JUsuQ5cN1jqsWr7Zo8RExaJwHa1LKfDE9mDkWfd &gt; /home/ec2-user/.passwd-s3fs
chmod 600 /home/ec2-user/.passwd-s3fs
mkdir -p /home/ec2-user/mnt
s3fs bucket_name /home/ec2-user/mnt                                                                                                                    confirm the mount by running "df"</t>
  </si>
  <si>
    <t>Script</t>
  </si>
  <si>
    <t>mkdir some_dir_in_s3;   cd some_dir_in_s3 ; time for i in {1..1000}; do touch $i.txt; done</t>
  </si>
  <si>
    <t>for i in {1..1000}; do echo $i.txt &gt;&gt; tempFile; done     tr '\n' ' ' &lt; tempFile &gt; tempFile1                                                  var=`cat tempFile1`                                                                   mkdir some_dir_in_s3;   cd some_dir_in_s3                        time touch $var</t>
  </si>
  <si>
    <t>Time taken</t>
  </si>
  <si>
    <t>4m0.109s</t>
  </si>
  <si>
    <t>4m18.337s</t>
  </si>
  <si>
    <t>References</t>
  </si>
  <si>
    <t>https://github.com/s3fs-fuse/s3fs-fuse/wiki/Fuse-Over-Amazon</t>
  </si>
  <si>
    <t>https://github.com/s3fs-fuse/s3fs-fuse/wiki/Installation%20Notes</t>
  </si>
  <si>
    <t xml:space="preserve">S.no </t>
  </si>
  <si>
    <t>Tasks</t>
  </si>
  <si>
    <t>Responsible</t>
  </si>
  <si>
    <t>Status</t>
  </si>
  <si>
    <t>Spark RDD</t>
  </si>
  <si>
    <t>Ceph, CephFS</t>
  </si>
  <si>
    <t>Hadoop HDFS</t>
  </si>
  <si>
    <t>S3, S3FS</t>
  </si>
  <si>
    <t>FusionFS Setup</t>
  </si>
  <si>
    <t>GPFS, Lustre, OrangeFS</t>
  </si>
  <si>
    <t>NFS</t>
  </si>
  <si>
    <t>Datasets</t>
  </si>
  <si>
    <t xml:space="preserve">R/W data in files </t>
  </si>
  <si>
    <t>Total Storage Needed</t>
  </si>
  <si>
    <t>Actual Bytes</t>
  </si>
  <si>
    <t>this is wrong..</t>
  </si>
  <si>
    <t>1mb = 1024 kb</t>
  </si>
  <si>
    <t>Benchmarks (1 client per node, 1 server per node)</t>
  </si>
  <si>
    <t>Create empty files</t>
  </si>
  <si>
    <t>Write dataset</t>
  </si>
  <si>
    <t>Read dataset (same file from write) -- best case scenario</t>
  </si>
  <si>
    <t>Read dataset (random file) -- worst case scenario</t>
  </si>
  <si>
    <t>Evaluation Scales</t>
  </si>
  <si>
    <t>If there is time</t>
  </si>
  <si>
    <t>Sanity Evaluation</t>
  </si>
  <si>
    <t>Instance</t>
  </si>
  <si>
    <t>m3.large</t>
  </si>
  <si>
    <t>ssd drives</t>
  </si>
  <si>
    <t>Perl</t>
  </si>
  <si>
    <t>dd</t>
  </si>
  <si>
    <t>current method</t>
  </si>
  <si>
    <t>1x10GB</t>
  </si>
  <si>
    <t>1m55.088s</t>
  </si>
  <si>
    <t>2m4.124s</t>
  </si>
  <si>
    <t>3m15.595s</t>
  </si>
  <si>
    <t>2m52.475s</t>
  </si>
  <si>
    <t>dd if=/dev/zero of=file-name bs=1G count=10 conv=fdatasync</t>
  </si>
  <si>
    <t>10x1GB</t>
  </si>
  <si>
    <t>1m45.610s</t>
  </si>
  <si>
    <t>2m7.663s</t>
  </si>
  <si>
    <t>3m28.572s</t>
  </si>
  <si>
    <t>2m51.131s</t>
  </si>
  <si>
    <t>dd if=/dev/zero of=file-name bs=1G count=1 conv=fdatasync</t>
  </si>
  <si>
    <t xml:space="preserve">100x100MB </t>
  </si>
  <si>
    <t>1m43.564s</t>
  </si>
  <si>
    <t>2m0.689s</t>
  </si>
  <si>
    <t>3m2.165s</t>
  </si>
  <si>
    <t>2m47.444s</t>
  </si>
  <si>
    <t>dd if=/dev/zero of=file-name bs=100M count=1 conv=fdatasync</t>
  </si>
  <si>
    <t>1000x10MB</t>
  </si>
  <si>
    <t>1m43.566s</t>
  </si>
  <si>
    <t>2m0.993s</t>
  </si>
  <si>
    <t>2m58.092s</t>
  </si>
  <si>
    <t>2m48.129s</t>
  </si>
  <si>
    <t>dd if=/dev/zero of=file-name bs=10M count=1 conv=fdatasync</t>
  </si>
  <si>
    <t>1000x1MB</t>
  </si>
  <si>
    <t>0m2.462s</t>
  </si>
  <si>
    <t>0m12.188s</t>
  </si>
  <si>
    <t>0m17.926s</t>
  </si>
  <si>
    <t>0m1.183s</t>
  </si>
  <si>
    <t>dd if=/dev/zero of=file-name bs=1M count=1 conv=fdatasync</t>
  </si>
  <si>
    <t>1000x100KB</t>
  </si>
  <si>
    <t>0m1.431s</t>
  </si>
  <si>
    <t>0m4.086s</t>
  </si>
  <si>
    <t>0m2.391s</t>
  </si>
  <si>
    <t>0m0.790s</t>
  </si>
  <si>
    <t>dd if=/dev/zero of=file-name bs=102400 count=1 conv=fdatasync</t>
  </si>
  <si>
    <t>1000x10KB</t>
  </si>
  <si>
    <t>0m1.325s</t>
  </si>
  <si>
    <t>0m3.201s</t>
  </si>
  <si>
    <t>0m1.684s</t>
  </si>
  <si>
    <t>0m0.743s</t>
  </si>
  <si>
    <t>dd if=/dev/zero of=file-name bs=10240 count=1 conv=fdatasync</t>
  </si>
  <si>
    <t>10000x1KB</t>
  </si>
  <si>
    <t>0m13.147s</t>
  </si>
  <si>
    <t>0m30.612s</t>
  </si>
  <si>
    <t>0m16.745s</t>
  </si>
  <si>
    <t>0m7.780s</t>
  </si>
  <si>
    <t>dd if=/dev/zero of=file-name bs=1024 count=1 conv=fdatasync</t>
  </si>
  <si>
    <t>Metadata Evaluation</t>
  </si>
  <si>
    <t>Files</t>
  </si>
  <si>
    <t>0m0.013s</t>
  </si>
  <si>
    <t>0m0.132s</t>
  </si>
  <si>
    <t>bash loop</t>
  </si>
  <si>
    <t>0m1.283s</t>
  </si>
  <si>
    <t>0m8.276s</t>
  </si>
  <si>
    <t>java program</t>
  </si>
  <si>
    <t>0m0.015s</t>
  </si>
  <si>
    <t>0m0.221s</t>
  </si>
  <si>
    <t>Replication 1</t>
  </si>
  <si>
    <t>Replication 2</t>
  </si>
  <si>
    <t>0m30.792s</t>
  </si>
  <si>
    <t>0m30.953s</t>
  </si>
  <si>
    <t>0m25.762s</t>
  </si>
  <si>
    <t>0m30.795s</t>
  </si>
  <si>
    <t>0m28.758s</t>
  </si>
  <si>
    <t>0m29.086s</t>
  </si>
  <si>
    <t>0m26.923s</t>
  </si>
  <si>
    <t>0m28.763s</t>
  </si>
  <si>
    <t>0m27.024s</t>
  </si>
  <si>
    <t>0m22.404s</t>
  </si>
  <si>
    <t>0m24.530s</t>
  </si>
  <si>
    <t>0m26.208s</t>
  </si>
  <si>
    <t>0m20.532s</t>
  </si>
  <si>
    <t>0m16.695s</t>
  </si>
  <si>
    <t>0m20.474s</t>
  </si>
  <si>
    <t>0m20.371s</t>
  </si>
  <si>
    <t>Delete Operation</t>
  </si>
  <si>
    <t>0m49.636s</t>
  </si>
  <si>
    <t>0m48.402s</t>
  </si>
  <si>
    <t>0m49.719s</t>
  </si>
  <si>
    <t>0m49.708s</t>
  </si>
  <si>
    <t>0m34.590s</t>
  </si>
  <si>
    <t>0m29.059s</t>
  </si>
  <si>
    <t>0m35.960s</t>
  </si>
  <si>
    <t>0m36.509s</t>
  </si>
  <si>
    <t>0m2.835s</t>
  </si>
  <si>
    <t>0m2.807s</t>
  </si>
  <si>
    <t>0m2.641s</t>
  </si>
  <si>
    <t>0m2.666s</t>
  </si>
  <si>
    <t>0m2.331s</t>
  </si>
  <si>
    <t>0m1.989s</t>
  </si>
  <si>
    <t>0m2.402s</t>
  </si>
  <si>
    <t>0m2.400s</t>
  </si>
  <si>
    <t>0m2.943s</t>
  </si>
  <si>
    <t>0m2.853s</t>
  </si>
  <si>
    <t>0m2.891s</t>
  </si>
  <si>
    <t>0m2.806s</t>
  </si>
  <si>
    <t>0m2.456s</t>
  </si>
  <si>
    <t>0m2.211s</t>
  </si>
  <si>
    <t>0m2.382s</t>
  </si>
  <si>
    <t>0m2.512s</t>
  </si>
  <si>
    <t>0m13.373s</t>
  </si>
  <si>
    <t>0m28.858s</t>
  </si>
  <si>
    <t>0m10.259s</t>
  </si>
  <si>
    <t>0m32.265s</t>
  </si>
  <si>
    <t>0m2.354s</t>
  </si>
  <si>
    <t>0m2.062s</t>
  </si>
  <si>
    <t>0m2.405s</t>
  </si>
  <si>
    <t>0m2.422s</t>
  </si>
  <si>
    <t>6m19.905s</t>
  </si>
  <si>
    <t>4m23.330s</t>
  </si>
  <si>
    <t>6m42.707s</t>
  </si>
  <si>
    <t>6m18.437s</t>
  </si>
  <si>
    <t>0m2.544s</t>
  </si>
  <si>
    <t>0m2.046s</t>
  </si>
  <si>
    <t>0m2.563s</t>
  </si>
  <si>
    <t>0m2.549s</t>
  </si>
  <si>
    <t>5m19.628s</t>
  </si>
  <si>
    <t>4m6.804s</t>
  </si>
  <si>
    <t>5m37.150s</t>
  </si>
  <si>
    <t>5m31.780s</t>
  </si>
  <si>
    <t>0m0.471s</t>
  </si>
  <si>
    <t>0m0.330s</t>
  </si>
  <si>
    <t>0m0.552s</t>
  </si>
  <si>
    <t>0m0.491s</t>
  </si>
  <si>
    <t>5m22.220s</t>
  </si>
  <si>
    <t>5m11.853s</t>
  </si>
  <si>
    <t>4m58.976s</t>
  </si>
  <si>
    <t>5m8.241s</t>
  </si>
  <si>
    <t>0m0.231s</t>
  </si>
  <si>
    <t>0m0.166s</t>
  </si>
  <si>
    <t>0m0.280s</t>
  </si>
  <si>
    <t>0m0.208s</t>
  </si>
  <si>
    <t>5m41.989s</t>
  </si>
  <si>
    <t>6m1.392s</t>
  </si>
  <si>
    <t>5m38.895s</t>
  </si>
  <si>
    <t>4m25.531s</t>
  </si>
  <si>
    <t>0m0.048s</t>
  </si>
  <si>
    <t>0m0.045s</t>
  </si>
  <si>
    <t>0m0.047s</t>
  </si>
  <si>
    <t>Ceph FS</t>
  </si>
  <si>
    <t>Replication 3</t>
  </si>
  <si>
    <t>Single char print</t>
  </si>
  <si>
    <t>1m36.802s</t>
  </si>
  <si>
    <t>1m42.262s</t>
  </si>
  <si>
    <t>1m38.754s</t>
  </si>
  <si>
    <t>1m35.818s</t>
  </si>
  <si>
    <t>0m3.019s</t>
  </si>
  <si>
    <t>0m3.759s</t>
  </si>
  <si>
    <t>0m3.397s</t>
  </si>
  <si>
    <t>0m3.069s</t>
  </si>
  <si>
    <t>0m6.703s</t>
  </si>
  <si>
    <t>0m6.000s</t>
  </si>
  <si>
    <t>0m5.284s</t>
  </si>
  <si>
    <t>0m6.249s</t>
  </si>
  <si>
    <t>0m17.035s</t>
  </si>
  <si>
    <t>0m15.935s</t>
  </si>
  <si>
    <t>0m10.794s</t>
  </si>
  <si>
    <t>0m13.777s</t>
  </si>
  <si>
    <t>10 char print</t>
  </si>
  <si>
    <t>Delete</t>
  </si>
  <si>
    <t>1m45.200s</t>
  </si>
  <si>
    <t>1m44.979s</t>
  </si>
  <si>
    <t>1m44.987s</t>
  </si>
  <si>
    <t>1m46.335s</t>
  </si>
  <si>
    <t>0m41.663s</t>
  </si>
  <si>
    <t>0m31.075s</t>
  </si>
  <si>
    <t>0m37.820s</t>
  </si>
  <si>
    <t>0m38.886s</t>
  </si>
  <si>
    <t>0m3.267s</t>
  </si>
  <si>
    <t>0m2.879s</t>
  </si>
  <si>
    <t>0m2.753s</t>
  </si>
  <si>
    <t>0m2.870s</t>
  </si>
  <si>
    <t>0m2.951s</t>
  </si>
  <si>
    <t>0m1.865s</t>
  </si>
  <si>
    <t>0m2.635s</t>
  </si>
  <si>
    <t>0m2.495s</t>
  </si>
  <si>
    <t>0m2.993s</t>
  </si>
  <si>
    <t>0m2.855s</t>
  </si>
  <si>
    <t>0m2.904s</t>
  </si>
  <si>
    <t>0m2.911s</t>
  </si>
  <si>
    <t>0m2.725s</t>
  </si>
  <si>
    <t>0m1.679s</t>
  </si>
  <si>
    <t>0m2.445s</t>
  </si>
  <si>
    <t>0m2.454s</t>
  </si>
  <si>
    <t>1m39.784s</t>
  </si>
  <si>
    <t>1m44.854s</t>
  </si>
  <si>
    <t>1m33.786s</t>
  </si>
  <si>
    <t>1m34.379s</t>
  </si>
  <si>
    <t>0m2.913s</t>
  </si>
  <si>
    <t>0m1.656s</t>
  </si>
  <si>
    <t>0m2.551s</t>
  </si>
  <si>
    <t>0m2.542s</t>
  </si>
  <si>
    <t>15m43.599s</t>
  </si>
  <si>
    <t>19m18.012s</t>
  </si>
  <si>
    <t>15m45.611s</t>
  </si>
  <si>
    <t>15m43.460s</t>
  </si>
  <si>
    <t>base64 | head random</t>
  </si>
  <si>
    <t>1m32.940s</t>
  </si>
  <si>
    <t>1m50.021s</t>
  </si>
  <si>
    <t>1m36.152s</t>
  </si>
  <si>
    <t>1m49.804s</t>
  </si>
  <si>
    <t>0m45.364s</t>
  </si>
  <si>
    <t>0m35.369s</t>
  </si>
  <si>
    <t>0m43.615s</t>
  </si>
  <si>
    <t>0m47.119s</t>
  </si>
  <si>
    <t>0m4.304s</t>
  </si>
  <si>
    <t>0m5.359s</t>
  </si>
  <si>
    <t>0m4.342s</t>
  </si>
  <si>
    <t>0m4.385s</t>
  </si>
  <si>
    <t>0m2.348s</t>
  </si>
  <si>
    <t>0m1.819s</t>
  </si>
  <si>
    <t>0m2.363s</t>
  </si>
  <si>
    <t>0m2.707s</t>
  </si>
  <si>
    <t>0m11.765s</t>
  </si>
  <si>
    <t>0m12.349s</t>
  </si>
  <si>
    <t>0m13.087s</t>
  </si>
  <si>
    <t>0m11.746s</t>
  </si>
  <si>
    <t>0m2.516s</t>
  </si>
  <si>
    <t>0m2.073s</t>
  </si>
  <si>
    <t>0m2.392s</t>
  </si>
  <si>
    <t>0m2.746s</t>
  </si>
  <si>
    <t>1m58.655s</t>
  </si>
  <si>
    <t>1m26.632s</t>
  </si>
  <si>
    <t>1m59.701s</t>
  </si>
  <si>
    <t>1m56.206s</t>
  </si>
  <si>
    <t>0m2.598s</t>
  </si>
  <si>
    <t>0m1.991s</t>
  </si>
  <si>
    <t>0m2.511s</t>
  </si>
  <si>
    <t>0m2.934s</t>
  </si>
  <si>
    <t>24m52.715s</t>
  </si>
  <si>
    <t>24m9.878s</t>
  </si>
  <si>
    <t>24m47.033s</t>
  </si>
  <si>
    <t>HANG!!</t>
  </si>
  <si>
    <t>12m52.688s</t>
  </si>
  <si>
    <t>12m58.839s</t>
  </si>
  <si>
    <t>12m53.601s</t>
  </si>
  <si>
    <t>12m54.063s</t>
  </si>
  <si>
    <t>0m41.132s</t>
  </si>
  <si>
    <t>0m9.720s</t>
  </si>
  <si>
    <t>49m24.900s</t>
  </si>
  <si>
    <t>0m35.494s</t>
  </si>
  <si>
    <t>0m9.681s</t>
  </si>
  <si>
    <t>51m53.570s</t>
  </si>
  <si>
    <t>0m40.109s</t>
  </si>
  <si>
    <t>0m9.731s</t>
  </si>
  <si>
    <t>49m47.185s</t>
  </si>
  <si>
    <t>0m40.446s</t>
  </si>
  <si>
    <t>0m10.105s</t>
  </si>
  <si>
    <t>49m31.924s</t>
  </si>
  <si>
    <t>1m18.904s</t>
  </si>
  <si>
    <t>0m0.891s</t>
  </si>
  <si>
    <t>50m42.625s</t>
  </si>
  <si>
    <t>1m14.606s</t>
  </si>
  <si>
    <t>0m1.291s</t>
  </si>
  <si>
    <t>53m2.780s</t>
  </si>
  <si>
    <t>1m18.760s</t>
  </si>
  <si>
    <t>0m1.509s</t>
  </si>
  <si>
    <t>49m50.393s</t>
  </si>
  <si>
    <t>1m23.853s</t>
  </si>
  <si>
    <t>0m0.973s</t>
  </si>
  <si>
    <t>49m53.443s</t>
  </si>
  <si>
    <t>0m1.365s</t>
  </si>
  <si>
    <t>0m0.723s</t>
  </si>
  <si>
    <t>1m24.956s</t>
  </si>
  <si>
    <t>0m1.451s</t>
  </si>
  <si>
    <t>0m0.745s</t>
  </si>
  <si>
    <t>1m11.891s</t>
  </si>
  <si>
    <t>0m3.023s</t>
  </si>
  <si>
    <t>0m4.091s</t>
  </si>
  <si>
    <t>1m30.387s</t>
  </si>
  <si>
    <t>0m1.375s</t>
  </si>
  <si>
    <t>0m0.649s</t>
  </si>
  <si>
    <t>1m23.437s</t>
  </si>
  <si>
    <t>0m10.023s</t>
  </si>
  <si>
    <t>0m4.051s</t>
  </si>
  <si>
    <t>1m35.606s</t>
  </si>
  <si>
    <t>0m5.329s</t>
  </si>
  <si>
    <t>0m4.442s</t>
  </si>
  <si>
    <t>1m11.223s</t>
  </si>
  <si>
    <t>0m8.902s</t>
  </si>
  <si>
    <t>0m4.101s</t>
  </si>
  <si>
    <t>1m50.671s</t>
  </si>
  <si>
    <t>0m10.334s</t>
  </si>
  <si>
    <t>0m5.585s</t>
  </si>
  <si>
    <t>1m21.770s</t>
  </si>
  <si>
    <t>1m12.818s</t>
  </si>
  <si>
    <t>0m20.123s</t>
  </si>
  <si>
    <t>1m34.123s</t>
  </si>
  <si>
    <t>0m24.443s</t>
  </si>
  <si>
    <t>0m20.302s</t>
  </si>
  <si>
    <t>1m16.886s</t>
  </si>
  <si>
    <t>1m13.111s</t>
  </si>
  <si>
    <t>0m13.145s</t>
  </si>
  <si>
    <t>1m30.994s</t>
  </si>
  <si>
    <t>1m14.549s</t>
  </si>
  <si>
    <t>0m20.628s</t>
  </si>
  <si>
    <t>1m56.393s</t>
  </si>
  <si>
    <t>12m43.024s</t>
  </si>
  <si>
    <t>9m0.854s</t>
  </si>
  <si>
    <t>12m44.117s</t>
  </si>
  <si>
    <t>12m26.824s</t>
  </si>
  <si>
    <t>6m40.481s</t>
  </si>
  <si>
    <t>4m45.400s</t>
  </si>
  <si>
    <t>6m14.953s</t>
  </si>
  <si>
    <t>5m13.627s</t>
  </si>
  <si>
    <t>6m9.268s</t>
  </si>
  <si>
    <t>4m59.205s</t>
  </si>
  <si>
    <t>4m36.446s</t>
  </si>
  <si>
    <t>4m56.011s</t>
  </si>
  <si>
    <t>5m47.349s</t>
  </si>
  <si>
    <t>4m27.775s</t>
  </si>
  <si>
    <t>6m30.082s</t>
  </si>
  <si>
    <t>5m30.500s</t>
  </si>
  <si>
    <t>4m33.031s</t>
  </si>
  <si>
    <t>6m31.775s</t>
  </si>
  <si>
    <t>5m39.834s</t>
  </si>
  <si>
    <t>4m48.774s</t>
  </si>
  <si>
    <t>3m20.616s</t>
  </si>
  <si>
    <t>5m3.494s</t>
  </si>
  <si>
    <t>4m38.480s</t>
  </si>
  <si>
    <t>6m33.152s</t>
  </si>
  <si>
    <t>Old Data Fusion -- Incorrect</t>
  </si>
  <si>
    <t/>
  </si>
  <si>
    <t>ec2-54-157-218-39.compute-1.amazonaws.com &lt;==</t>
  </si>
  <si>
    <t>ec2-54-157-248-220.compute-1.amazonaws.com &lt;==</t>
  </si>
  <si>
    <t>ec2-54-157-28-210.compute-1.amazonaws.com &lt;==</t>
  </si>
  <si>
    <t>ec2-54-157-37-208.compute-1.amazonaws.com &lt;==</t>
  </si>
  <si>
    <t>ec2-54-157-53-20.compute-1.amazonaws.com &lt;==</t>
  </si>
  <si>
    <t>ec2-54-158-136-120.compute-1.amazonaws.com &lt;==</t>
  </si>
  <si>
    <t>ec2-54-158-144-212.compute-1.amazonaws.com &lt;==</t>
  </si>
  <si>
    <t>ec2-54-158-78-198.compute-1.amazonaws.com &lt;==</t>
  </si>
  <si>
    <t>ec2-54-159-146-84.compute-1.amazonaws.com &lt;==</t>
  </si>
  <si>
    <t>ec2-54-159-155-46.compute-1.amazonaws.com &lt;==</t>
  </si>
  <si>
    <t>ec2-54-159-183-115.compute-1.amazonaws.com &lt;==</t>
  </si>
  <si>
    <t>ec2-54-159-198-79.compute-1.amazonaws.com &lt;==</t>
  </si>
  <si>
    <t>ec2-54-159-245-95.compute-1.amazonaws.com &lt;==</t>
  </si>
  <si>
    <t>ec2-54-161-146-190.compute-1.amazonaws.com &lt;==</t>
  </si>
  <si>
    <t>ec2-54-161-154-21.compute-1.amazonaws.com &lt;==</t>
  </si>
  <si>
    <t>ec2-54-163-117-95.compute-1.amazonaws.com &lt;==</t>
  </si>
  <si>
    <t>ec2-54-163-165-35.compute-1.amazonaws.com &lt;==</t>
  </si>
  <si>
    <t>ec2-54-163-181-96.compute-1.amazonaws.com &lt;==</t>
  </si>
  <si>
    <t>ec2-54-166-123-134.compute-1.amazonaws.com &lt;==</t>
  </si>
  <si>
    <t>ec2-54-166-27-221.compute-1.amazonaws.com &lt;==</t>
  </si>
  <si>
    <t>ec2-54-166-30-188.compute-1.amazonaws.com &lt;==</t>
  </si>
  <si>
    <t>ec2-54-166-41-148.compute-1.amazonaws.com &lt;==</t>
  </si>
  <si>
    <t>ec2-54-166-75-248.compute-1.amazonaws.com &lt;==</t>
  </si>
  <si>
    <t>ec2-54-197-130-53.compute-1.amazonaws.com &lt;==</t>
  </si>
  <si>
    <t>ec2-54-197-133-235.compute-1.amazonaws.com &lt;==</t>
  </si>
  <si>
    <t>ec2-54-197-142-229.compute-1.amazonaws.com &lt;==</t>
  </si>
  <si>
    <t>ec2-54-197-72-83.compute-1.amazonaws.com &lt;==</t>
  </si>
  <si>
    <t>ec2-54-204-142-77.compute-1.amazonaws.com &lt;==</t>
  </si>
  <si>
    <t>ec2-54-204-160-158.compute-1.amazonaws.com &lt;==</t>
  </si>
  <si>
    <t>ec2-54-204-205-14.compute-1.amazonaws.com &lt;==</t>
  </si>
  <si>
    <t>ec2-54-204-213-89.compute-1.amazonaws.com &lt;==</t>
  </si>
  <si>
    <t>ec2-54-205-13-54.compute-1.amazonaws.com &lt;==</t>
  </si>
  <si>
    <t>ec2-54-205-140-52.compute-1.amazonaws.com &lt;==</t>
  </si>
  <si>
    <t>ec2-54-205-143-193.compute-1.amazonaws.com &lt;==</t>
  </si>
  <si>
    <t>ec2-54-205-21-126.compute-1.amazonaws.com &lt;==</t>
  </si>
  <si>
    <t>ec2-54-205-254-28.compute-1.amazonaws.com &lt;==</t>
  </si>
  <si>
    <t>ec2-54-205-45-50.compute-1.amazonaws.com &lt;==</t>
  </si>
  <si>
    <t>ec2-54-205-71-12.compute-1.amazonaws.com &lt;==</t>
  </si>
  <si>
    <t>ec2-54-205-83-198.compute-1.amazonaws.com &lt;==</t>
  </si>
  <si>
    <t>ec2-54-211-0-224.compute-1.amazonaws.com &lt;==</t>
  </si>
  <si>
    <t>ec2-54-211-11-90.compute-1.amazonaws.com &lt;==</t>
  </si>
  <si>
    <t>ec2-54-211-131-104.compute-1.amazonaws.com &lt;==</t>
  </si>
  <si>
    <t>ec2-54-211-143-163.compute-1.amazonaws.com &lt;==</t>
  </si>
  <si>
    <t>ec2-54-211-162-10.compute-1.amazonaws.com &lt;==</t>
  </si>
  <si>
    <t>ec2-54-211-186-128.compute-1.amazonaws.com &lt;==</t>
  </si>
  <si>
    <t>ec2-54-211-197-103.compute-1.amazonaws.com &lt;==</t>
  </si>
  <si>
    <t>ec2-54-211-233-84.compute-1.amazonaws.com &lt;==</t>
  </si>
  <si>
    <t>ec2-54-211-59-205.compute-1.amazonaws.com &lt;==</t>
  </si>
  <si>
    <t>4 nodes- m3.large</t>
  </si>
  <si>
    <t>fileSize=1 KB : fileCount=10000 : BULK --&gt; 58156 ms OR 58 sec</t>
  </si>
  <si>
    <t>fileSize=0 bytes : fileCount=10000 : BULK --&gt; 29495 ms OR 29 sec</t>
  </si>
  <si>
    <t>fileSize=1 KB : fileCount=10000 : SINGLE --&gt; 567066 ms OR 567 sec</t>
  </si>
  <si>
    <t>fileSize=0 bytes : fileCount=10000 : SINGLE --&gt; 282276 ms OR 282 sec</t>
  </si>
  <si>
    <t>BULK</t>
  </si>
  <si>
    <t>SINGLE</t>
  </si>
  <si>
    <t>Node</t>
  </si>
  <si>
    <t>Time in ms</t>
  </si>
  <si>
    <t>Time in sec</t>
  </si>
  <si>
    <t>0 kb</t>
  </si>
  <si>
    <t>1 kb</t>
  </si>
  <si>
    <t>in sec</t>
  </si>
  <si>
    <t>Bulk</t>
  </si>
  <si>
    <t>Single</t>
  </si>
  <si>
    <t>node-1 (time in seconds)</t>
  </si>
  <si>
    <t>Slowdown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</si>
</sst>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00"/>
    <numFmt numFmtId="166" formatCode="0.000"/>
    <numFmt numFmtId="167" formatCode="0.0000"/>
  </numFmts>
  <fonts count="11">
    <font>
      <sz val="10.0"/>
      <color rgb="FF000000"/>
      <name val="Arial"/>
    </font>
    <font>
      <sz val="12.0"/>
      <color rgb="FF000000"/>
      <name val="Calibri"/>
    </font>
    <font>
      <b/>
    </font>
    <font/>
    <font>
      <color rgb="FF000000"/>
      <name val="Arial"/>
    </font>
    <font>
      <b/>
      <name val="Arial"/>
    </font>
    <font>
      <name val="Arial"/>
    </font>
    <font>
      <sz val="11.0"/>
      <color rgb="FF000000"/>
      <name val="Inconsolata"/>
    </font>
    <font>
      <u/>
      <color rgb="FF0000FF"/>
    </font>
    <font>
      <color rgb="FF222222"/>
      <name val="Arial"/>
    </font>
    <font>
      <color rgb="FFFF0000"/>
    </font>
  </fonts>
  <fills count="2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9BC2E6"/>
        <bgColor rgb="FF9BC2E6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</fills>
  <borders count="1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/>
      <top style="thin">
        <color rgb="FF000000"/>
      </top>
      <bottom style="thin">
        <color rgb="FF000000"/>
      </bottom>
    </border>
    <border>
      <left/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3" fontId="1" numFmtId="0" xfId="0" applyAlignment="1" applyFont="1">
      <alignment/>
    </xf>
    <xf borderId="0" fillId="0" fontId="1" numFmtId="0" xfId="0" applyAlignment="1" applyFont="1">
      <alignment horizontal="right"/>
    </xf>
    <xf borderId="0" fillId="2" fontId="1" numFmtId="0" xfId="0" applyAlignment="1" applyFont="1">
      <alignment/>
    </xf>
    <xf borderId="1" fillId="2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4" fontId="3" numFmtId="0" xfId="0" applyAlignment="1" applyBorder="1" applyFill="1" applyFont="1">
      <alignment/>
    </xf>
    <xf borderId="4" fillId="3" fontId="1" numFmtId="0" xfId="0" applyAlignment="1" applyBorder="1" applyFont="1">
      <alignment/>
    </xf>
    <xf borderId="4" fillId="4" fontId="3" numFmtId="0" xfId="0" applyAlignment="1" applyBorder="1" applyFont="1">
      <alignment/>
    </xf>
    <xf borderId="4" fillId="0" fontId="3" numFmtId="0" xfId="0" applyBorder="1" applyFont="1"/>
    <xf borderId="0" fillId="0" fontId="4" numFmtId="0" xfId="0" applyAlignment="1" applyFont="1">
      <alignment horizontal="center"/>
    </xf>
    <xf borderId="0" fillId="5" fontId="4" numFmtId="0" xfId="0" applyAlignment="1" applyFill="1" applyFont="1">
      <alignment horizontal="center"/>
    </xf>
    <xf borderId="0" fillId="2" fontId="4" numFmtId="0" xfId="0" applyAlignment="1" applyFont="1">
      <alignment horizontal="center"/>
    </xf>
    <xf borderId="0" fillId="6" fontId="4" numFmtId="0" xfId="0" applyAlignment="1" applyFill="1" applyFont="1">
      <alignment horizontal="center"/>
    </xf>
    <xf borderId="0" fillId="0" fontId="4" numFmtId="0" xfId="0" applyAlignment="1" applyFont="1">
      <alignment horizontal="center"/>
    </xf>
    <xf borderId="0" fillId="7" fontId="4" numFmtId="0" xfId="0" applyAlignment="1" applyFill="1" applyFont="1">
      <alignment horizontal="center"/>
    </xf>
    <xf borderId="4" fillId="8" fontId="2" numFmtId="0" xfId="0" applyAlignment="1" applyBorder="1" applyFill="1" applyFont="1">
      <alignment/>
    </xf>
    <xf borderId="1" fillId="9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2" fillId="10" fontId="3" numFmtId="0" xfId="0" applyAlignment="1" applyBorder="1" applyFill="1" applyFont="1">
      <alignment horizontal="center"/>
    </xf>
    <xf borderId="4" fillId="0" fontId="3" numFmtId="0" xfId="0" applyAlignment="1" applyBorder="1" applyFont="1">
      <alignment/>
    </xf>
    <xf borderId="4" fillId="10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/>
    </xf>
    <xf borderId="0" fillId="0" fontId="3" numFmtId="0" xfId="0" applyAlignment="1" applyFont="1">
      <alignment/>
    </xf>
    <xf borderId="4" fillId="10" fontId="6" numFmtId="0" xfId="0" applyAlignment="1" applyBorder="1" applyFont="1">
      <alignment horizontal="right"/>
    </xf>
    <xf borderId="4" fillId="2" fontId="3" numFmtId="0" xfId="0" applyAlignment="1" applyBorder="1" applyFont="1">
      <alignment/>
    </xf>
    <xf borderId="4" fillId="10" fontId="3" numFmtId="0" xfId="0" applyAlignment="1" applyBorder="1" applyFont="1">
      <alignment/>
    </xf>
    <xf borderId="4" fillId="2" fontId="6" numFmtId="0" xfId="0" applyAlignment="1" applyBorder="1" applyFont="1">
      <alignment horizontal="right"/>
    </xf>
    <xf borderId="0" fillId="11" fontId="3" numFmtId="0" xfId="0" applyFill="1" applyFont="1"/>
    <xf borderId="0" fillId="10" fontId="3" numFmtId="0" xfId="0" applyAlignment="1" applyFont="1">
      <alignment/>
    </xf>
    <xf borderId="4" fillId="8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5" fillId="8" fontId="5" numFmtId="0" xfId="0" applyAlignment="1" applyBorder="1" applyFont="1">
      <alignment horizontal="center"/>
    </xf>
    <xf borderId="6" fillId="0" fontId="3" numFmtId="0" xfId="0" applyBorder="1" applyFont="1"/>
    <xf borderId="1" fillId="12" fontId="2" numFmtId="0" xfId="0" applyAlignment="1" applyBorder="1" applyFill="1" applyFont="1">
      <alignment horizontal="center"/>
    </xf>
    <xf borderId="3" fillId="12" fontId="2" numFmtId="0" xfId="0" applyAlignment="1" applyBorder="1" applyFont="1">
      <alignment horizontal="center"/>
    </xf>
    <xf borderId="4" fillId="12" fontId="5" numFmtId="0" xfId="0" applyAlignment="1" applyBorder="1" applyFont="1">
      <alignment horizontal="center"/>
    </xf>
    <xf borderId="7" fillId="12" fontId="5" numFmtId="0" xfId="0" applyAlignment="1" applyBorder="1" applyFont="1">
      <alignment horizontal="center"/>
    </xf>
    <xf borderId="8" fillId="12" fontId="5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13" fontId="3" numFmtId="0" xfId="0" applyAlignment="1" applyBorder="1" applyFill="1" applyFont="1">
      <alignment horizontal="center"/>
    </xf>
    <xf borderId="4" fillId="11" fontId="6" numFmtId="0" xfId="0" applyAlignment="1" applyBorder="1" applyFont="1">
      <alignment horizontal="center"/>
    </xf>
    <xf borderId="4" fillId="11" fontId="6" numFmtId="0" xfId="0" applyAlignment="1" applyBorder="1" applyFont="1">
      <alignment horizontal="center"/>
    </xf>
    <xf borderId="4" fillId="2" fontId="2" numFmtId="164" xfId="0" applyAlignment="1" applyBorder="1" applyFont="1" applyNumberFormat="1">
      <alignment/>
    </xf>
    <xf borderId="1" fillId="2" fontId="2" numFmtId="164" xfId="0" applyAlignment="1" applyBorder="1" applyFont="1" applyNumberFormat="1">
      <alignment horizontal="center"/>
    </xf>
    <xf borderId="4" fillId="10" fontId="2" numFmtId="164" xfId="0" applyAlignment="1" applyBorder="1" applyFont="1" applyNumberFormat="1">
      <alignment/>
    </xf>
    <xf borderId="1" fillId="10" fontId="2" numFmtId="164" xfId="0" applyAlignment="1" applyBorder="1" applyFont="1" applyNumberFormat="1">
      <alignment horizontal="center"/>
    </xf>
    <xf borderId="4" fillId="13" fontId="2" numFmtId="164" xfId="0" applyAlignment="1" applyBorder="1" applyFont="1" applyNumberFormat="1">
      <alignment/>
    </xf>
    <xf borderId="4" fillId="0" fontId="2" numFmtId="164" xfId="0" applyAlignment="1" applyBorder="1" applyFont="1" applyNumberFormat="1">
      <alignment horizontal="center"/>
    </xf>
    <xf borderId="4" fillId="13" fontId="3" numFmtId="164" xfId="0" applyAlignment="1" applyBorder="1" applyFont="1" applyNumberFormat="1">
      <alignment/>
    </xf>
    <xf borderId="4" fillId="10" fontId="3" numFmtId="164" xfId="0" applyAlignment="1" applyBorder="1" applyFont="1" applyNumberFormat="1">
      <alignment/>
    </xf>
    <xf borderId="4" fillId="10" fontId="6" numFmtId="164" xfId="0" applyAlignment="1" applyBorder="1" applyFont="1" applyNumberFormat="1">
      <alignment horizontal="right"/>
    </xf>
    <xf borderId="4" fillId="2" fontId="3" numFmtId="164" xfId="0" applyAlignment="1" applyBorder="1" applyFont="1" applyNumberFormat="1">
      <alignment/>
    </xf>
    <xf borderId="4" fillId="2" fontId="6" numFmtId="164" xfId="0" applyAlignment="1" applyBorder="1" applyFont="1" applyNumberFormat="1">
      <alignment horizontal="right"/>
    </xf>
    <xf borderId="4" fillId="11" fontId="3" numFmtId="164" xfId="0" applyAlignment="1" applyBorder="1" applyFont="1" applyNumberFormat="1">
      <alignment/>
    </xf>
    <xf borderId="4" fillId="11" fontId="3" numFmtId="164" xfId="0" applyBorder="1" applyFont="1" applyNumberFormat="1"/>
    <xf borderId="0" fillId="2" fontId="2" numFmtId="164" xfId="0" applyAlignment="1" applyFont="1" applyNumberFormat="1">
      <alignment/>
    </xf>
    <xf borderId="0" fillId="2" fontId="2" numFmtId="164" xfId="0" applyAlignment="1" applyFont="1" applyNumberFormat="1">
      <alignment horizontal="center"/>
    </xf>
    <xf borderId="0" fillId="10" fontId="2" numFmtId="164" xfId="0" applyAlignment="1" applyFont="1" applyNumberFormat="1">
      <alignment/>
    </xf>
    <xf borderId="0" fillId="10" fontId="2" numFmtId="164" xfId="0" applyAlignment="1" applyFont="1" applyNumberFormat="1">
      <alignment horizontal="center"/>
    </xf>
    <xf borderId="0" fillId="13" fontId="2" numFmtId="164" xfId="0" applyAlignment="1" applyFont="1" applyNumberFormat="1">
      <alignment/>
    </xf>
    <xf borderId="0" fillId="0" fontId="2" numFmtId="164" xfId="0" applyAlignment="1" applyFont="1" applyNumberFormat="1">
      <alignment horizontal="center"/>
    </xf>
    <xf borderId="0" fillId="13" fontId="3" numFmtId="164" xfId="0" applyAlignment="1" applyFont="1" applyNumberFormat="1">
      <alignment/>
    </xf>
    <xf borderId="0" fillId="0" fontId="3" numFmtId="164" xfId="0" applyAlignment="1" applyFont="1" applyNumberFormat="1">
      <alignment/>
    </xf>
    <xf borderId="0" fillId="14" fontId="4" numFmtId="164" xfId="0" applyAlignment="1" applyFill="1" applyFont="1" applyNumberFormat="1">
      <alignment horizontal="right"/>
    </xf>
    <xf borderId="0" fillId="15" fontId="3" numFmtId="165" xfId="0" applyAlignment="1" applyFill="1" applyFont="1" applyNumberFormat="1">
      <alignment/>
    </xf>
    <xf borderId="0" fillId="15" fontId="3" numFmtId="165" xfId="0" applyFont="1" applyNumberFormat="1"/>
    <xf borderId="0" fillId="15" fontId="3" numFmtId="0" xfId="0" applyFont="1"/>
    <xf borderId="0" fillId="15" fontId="3" numFmtId="164" xfId="0" applyAlignment="1" applyFont="1" applyNumberFormat="1">
      <alignment/>
    </xf>
    <xf borderId="0" fillId="15" fontId="3" numFmtId="166" xfId="0" applyFont="1" applyNumberFormat="1"/>
    <xf borderId="0" fillId="15" fontId="3" numFmtId="164" xfId="0" applyFont="1" applyNumberFormat="1"/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10" fontId="2" numFmtId="0" xfId="0" applyAlignment="1" applyFont="1">
      <alignment horizontal="center"/>
    </xf>
    <xf borderId="0" fillId="0" fontId="6" numFmtId="0" xfId="0" applyAlignment="1" applyFont="1">
      <alignment/>
    </xf>
    <xf borderId="0" fillId="16" fontId="6" numFmtId="0" xfId="0" applyAlignment="1" applyFill="1" applyFont="1">
      <alignment/>
    </xf>
    <xf borderId="9" fillId="0" fontId="6" numFmtId="0" xfId="0" applyAlignment="1" applyBorder="1" applyFont="1">
      <alignment/>
    </xf>
    <xf borderId="10" fillId="16" fontId="6" numFmtId="0" xfId="0" applyAlignment="1" applyBorder="1" applyFont="1">
      <alignment/>
    </xf>
    <xf borderId="9" fillId="16" fontId="6" numFmtId="0" xfId="0" applyAlignment="1" applyBorder="1" applyFont="1">
      <alignment/>
    </xf>
    <xf borderId="11" fillId="0" fontId="3" numFmtId="0" xfId="0" applyBorder="1" applyFont="1"/>
    <xf borderId="11" fillId="16" fontId="6" numFmtId="0" xfId="0" applyAlignment="1" applyBorder="1" applyFont="1">
      <alignment/>
    </xf>
    <xf borderId="12" fillId="0" fontId="6" numFmtId="0" xfId="0" applyAlignment="1" applyBorder="1" applyFont="1">
      <alignment/>
    </xf>
    <xf borderId="11" fillId="2" fontId="6" numFmtId="0" xfId="0" applyAlignment="1" applyBorder="1" applyFont="1">
      <alignment/>
    </xf>
    <xf borderId="9" fillId="2" fontId="6" numFmtId="0" xfId="0" applyAlignment="1" applyBorder="1" applyFont="1">
      <alignment/>
    </xf>
    <xf borderId="9" fillId="0" fontId="3" numFmtId="0" xfId="0" applyBorder="1" applyFont="1"/>
    <xf borderId="9" fillId="17" fontId="6" numFmtId="0" xfId="0" applyAlignment="1" applyBorder="1" applyFill="1" applyFont="1">
      <alignment/>
    </xf>
    <xf borderId="9" fillId="16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0" fillId="16" fontId="5" numFmtId="0" xfId="0" applyAlignment="1" applyBorder="1" applyFont="1">
      <alignment/>
    </xf>
    <xf borderId="11" fillId="16" fontId="5" numFmtId="0" xfId="0" applyAlignment="1" applyBorder="1" applyFont="1">
      <alignment/>
    </xf>
    <xf borderId="11" fillId="2" fontId="5" numFmtId="0" xfId="0" applyAlignment="1" applyBorder="1" applyFont="1">
      <alignment/>
    </xf>
    <xf borderId="10" fillId="16" fontId="6" numFmtId="0" xfId="0" applyAlignment="1" applyBorder="1" applyFont="1">
      <alignment horizontal="right"/>
    </xf>
    <xf borderId="11" fillId="16" fontId="6" numFmtId="0" xfId="0" applyAlignment="1" applyBorder="1" applyFont="1">
      <alignment horizontal="right"/>
    </xf>
    <xf borderId="11" fillId="2" fontId="6" numFmtId="0" xfId="0" applyAlignment="1" applyBorder="1" applyFont="1">
      <alignment horizontal="right"/>
    </xf>
    <xf borderId="0" fillId="2" fontId="2" numFmtId="0" xfId="0" applyAlignment="1" applyFont="1">
      <alignment/>
    </xf>
    <xf borderId="0" fillId="10" fontId="2" numFmtId="0" xfId="0" applyAlignment="1" applyFont="1">
      <alignment/>
    </xf>
    <xf borderId="0" fillId="13" fontId="2" numFmtId="0" xfId="0" applyAlignment="1" applyFont="1">
      <alignment/>
    </xf>
    <xf borderId="0" fillId="14" fontId="4" numFmtId="0" xfId="0" applyAlignment="1" applyFont="1">
      <alignment horizontal="right"/>
    </xf>
    <xf borderId="0" fillId="14" fontId="7" numFmtId="0" xfId="0" applyFont="1"/>
    <xf borderId="0" fillId="15" fontId="3" numFmtId="0" xfId="0" applyAlignment="1" applyFont="1">
      <alignment/>
    </xf>
    <xf borderId="0" fillId="15" fontId="3" numFmtId="0" xfId="0" applyFont="1"/>
    <xf borderId="1" fillId="9" fontId="3" numFmtId="0" xfId="0" applyAlignment="1" applyBorder="1" applyFont="1">
      <alignment wrapText="1"/>
    </xf>
    <xf borderId="10" fillId="2" fontId="5" numFmtId="0" xfId="0" applyAlignment="1" applyBorder="1" applyFont="1">
      <alignment/>
    </xf>
    <xf borderId="10" fillId="2" fontId="6" numFmtId="0" xfId="0" applyAlignment="1" applyBorder="1" applyFont="1">
      <alignment horizontal="right"/>
    </xf>
    <xf borderId="11" fillId="2" fontId="6" numFmtId="0" xfId="0" applyAlignment="1" applyBorder="1" applyFont="1">
      <alignment horizontal="right"/>
    </xf>
    <xf borderId="0" fillId="0" fontId="2" numFmtId="0" xfId="0" applyAlignment="1" applyFont="1">
      <alignment/>
    </xf>
    <xf borderId="1" fillId="18" fontId="3" numFmtId="0" xfId="0" applyAlignment="1" applyBorder="1" applyFill="1" applyFont="1">
      <alignment horizontal="center"/>
    </xf>
    <xf borderId="4" fillId="18" fontId="3" numFmtId="0" xfId="0" applyAlignment="1" applyBorder="1" applyFont="1">
      <alignment/>
    </xf>
    <xf borderId="4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3" numFmtId="0" xfId="0" applyBorder="1" applyFont="1"/>
    <xf borderId="0" fillId="0" fontId="3" numFmtId="0" xfId="0" applyAlignment="1" applyFont="1">
      <alignment horizontal="center"/>
    </xf>
    <xf borderId="4" fillId="0" fontId="3" numFmtId="0" xfId="0" applyBorder="1" applyFont="1"/>
    <xf borderId="4" fillId="0" fontId="3" numFmtId="164" xfId="0" applyAlignment="1" applyBorder="1" applyFont="1" applyNumberFormat="1">
      <alignment/>
    </xf>
    <xf borderId="4" fillId="0" fontId="6" numFmtId="0" xfId="0" applyAlignment="1" applyBorder="1" applyFont="1">
      <alignment horizontal="center"/>
    </xf>
    <xf borderId="15" fillId="0" fontId="3" numFmtId="0" xfId="0" applyBorder="1" applyFont="1"/>
    <xf borderId="0" fillId="0" fontId="3" numFmtId="164" xfId="0" applyFont="1" applyNumberFormat="1"/>
    <xf borderId="16" fillId="0" fontId="3" numFmtId="0" xfId="0" applyBorder="1" applyFont="1"/>
    <xf borderId="1" fillId="18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4" fillId="0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right"/>
    </xf>
    <xf borderId="4" fillId="0" fontId="6" numFmtId="164" xfId="0" applyAlignment="1" applyBorder="1" applyFont="1" applyNumberFormat="1">
      <alignment horizontal="righ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4" fillId="8" fontId="2" numFmtId="0" xfId="0" applyBorder="1" applyFont="1"/>
    <xf borderId="1" fillId="8" fontId="5" numFmtId="0" xfId="0" applyAlignment="1" applyBorder="1" applyFont="1">
      <alignment horizontal="center"/>
    </xf>
    <xf borderId="1" fillId="8" fontId="5" numFmtId="0" xfId="0" applyAlignment="1" applyBorder="1" applyFont="1">
      <alignment horizontal="center"/>
    </xf>
    <xf borderId="3" fillId="8" fontId="5" numFmtId="0" xfId="0" applyAlignment="1" applyBorder="1" applyFont="1">
      <alignment horizontal="center"/>
    </xf>
    <xf borderId="4" fillId="8" fontId="3" numFmtId="0" xfId="0" applyBorder="1" applyFont="1"/>
    <xf borderId="4" fillId="8" fontId="5" numFmtId="0" xfId="0" applyAlignment="1" applyBorder="1" applyFont="1">
      <alignment horizontal="center"/>
    </xf>
    <xf borderId="4" fillId="8" fontId="3" numFmtId="0" xfId="0" applyAlignment="1" applyBorder="1" applyFont="1">
      <alignment/>
    </xf>
    <xf borderId="4" fillId="10" fontId="6" numFmtId="0" xfId="0" applyAlignment="1" applyBorder="1" applyFont="1">
      <alignment horizontal="center"/>
    </xf>
    <xf borderId="4" fillId="10" fontId="3" numFmtId="0" xfId="0" applyBorder="1" applyFont="1"/>
    <xf borderId="4" fillId="11" fontId="3" numFmtId="0" xfId="0" applyBorder="1" applyFont="1"/>
    <xf borderId="2" fillId="18" fontId="3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4" fillId="0" fontId="6" numFmtId="164" xfId="0" applyAlignment="1" applyBorder="1" applyFont="1" applyNumberFormat="1">
      <alignment horizontal="center"/>
    </xf>
    <xf borderId="0" fillId="0" fontId="6" numFmtId="0" xfId="0" applyAlignment="1" applyFont="1">
      <alignment/>
    </xf>
    <xf borderId="4" fillId="0" fontId="6" numFmtId="164" xfId="0" applyAlignment="1" applyBorder="1" applyFont="1" applyNumberFormat="1">
      <alignment/>
    </xf>
    <xf borderId="4" fillId="0" fontId="3" numFmtId="164" xfId="0" applyBorder="1" applyFont="1" applyNumberFormat="1"/>
    <xf borderId="4" fillId="0" fontId="3" numFmtId="164" xfId="0" applyAlignment="1" applyBorder="1" applyFont="1" applyNumberFormat="1">
      <alignment horizontal="center"/>
    </xf>
    <xf borderId="4" fillId="0" fontId="3" numFmtId="166" xfId="0" applyBorder="1" applyFont="1" applyNumberFormat="1"/>
    <xf borderId="4" fillId="18" fontId="3" numFmtId="164" xfId="0" applyAlignment="1" applyBorder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horizontal="right"/>
    </xf>
    <xf borderId="4" fillId="0" fontId="3" numFmtId="164" xfId="0" applyAlignment="1" applyBorder="1" applyFont="1" applyNumberFormat="1">
      <alignment horizontal="right"/>
    </xf>
    <xf borderId="4" fillId="0" fontId="3" numFmtId="167" xfId="0" applyAlignment="1" applyBorder="1" applyFont="1" applyNumberFormat="1">
      <alignment horizontal="right"/>
    </xf>
    <xf borderId="0" fillId="0" fontId="3" numFmtId="0" xfId="0" applyAlignment="1" applyFont="1">
      <alignment horizontal="right"/>
    </xf>
    <xf borderId="4" fillId="2" fontId="3" numFmtId="0" xfId="0" applyBorder="1" applyFont="1"/>
    <xf borderId="0" fillId="2" fontId="3" numFmtId="0" xfId="0" applyAlignment="1" applyFont="1">
      <alignment/>
    </xf>
    <xf borderId="0" fillId="2" fontId="3" numFmtId="0" xfId="0" applyFont="1"/>
    <xf borderId="0" fillId="10" fontId="3" numFmtId="0" xfId="0" applyFont="1"/>
    <xf borderId="0" fillId="0" fontId="5" numFmtId="0" xfId="0" applyAlignment="1" applyFont="1">
      <alignment horizontal="center"/>
    </xf>
    <xf borderId="1" fillId="1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10" fontId="6" numFmtId="0" xfId="0" applyAlignment="1" applyBorder="1" applyFont="1">
      <alignment horizontal="right"/>
    </xf>
    <xf borderId="1" fillId="10" fontId="3" numFmtId="0" xfId="0" applyAlignment="1" applyBorder="1" applyFont="1">
      <alignment/>
    </xf>
    <xf borderId="0" fillId="0" fontId="2" numFmtId="0" xfId="0" applyAlignment="1" applyFont="1">
      <alignment vertical="center"/>
    </xf>
    <xf borderId="4" fillId="2" fontId="2" numFmtId="0" xfId="0" applyAlignment="1" applyBorder="1" applyFont="1">
      <alignment horizontal="center" vertical="center"/>
    </xf>
    <xf borderId="4" fillId="9" fontId="2" numFmtId="0" xfId="0" applyAlignment="1" applyBorder="1" applyFont="1">
      <alignment horizontal="center" vertical="center"/>
    </xf>
    <xf borderId="4" fillId="9" fontId="3" numFmtId="0" xfId="0" applyAlignment="1" applyBorder="1" applyFont="1">
      <alignment horizontal="left"/>
    </xf>
    <xf borderId="4" fillId="9" fontId="3" numFmtId="0" xfId="0" applyAlignment="1" applyBorder="1" applyFont="1">
      <alignment/>
    </xf>
    <xf borderId="4" fillId="2" fontId="3" numFmtId="0" xfId="0" applyAlignment="1" applyBorder="1" applyFont="1">
      <alignment wrapText="1"/>
    </xf>
    <xf borderId="4" fillId="9" fontId="3" numFmtId="0" xfId="0" applyAlignment="1" applyBorder="1" applyFont="1">
      <alignment wrapText="1"/>
    </xf>
    <xf borderId="0" fillId="0" fontId="2" numFmtId="0" xfId="0" applyAlignment="1" applyFont="1">
      <alignment horizontal="center" vertical="center"/>
    </xf>
    <xf borderId="0" fillId="9" fontId="2" numFmtId="0" xfId="0" applyAlignment="1" applyFont="1">
      <alignment horizontal="center" vertical="center"/>
    </xf>
    <xf borderId="0" fillId="9" fontId="3" numFmtId="0" xfId="0" applyAlignment="1" applyFont="1">
      <alignment/>
    </xf>
    <xf borderId="0" fillId="0" fontId="8" numFmtId="0" xfId="0" applyAlignment="1" applyFont="1">
      <alignment/>
    </xf>
    <xf borderId="0" fillId="17" fontId="3" numFmtId="0" xfId="0" applyAlignment="1" applyFont="1">
      <alignment/>
    </xf>
    <xf borderId="0" fillId="19" fontId="3" numFmtId="0" xfId="0" applyAlignment="1" applyFill="1" applyFont="1">
      <alignment/>
    </xf>
    <xf borderId="0" fillId="19" fontId="3" numFmtId="0" xfId="0" applyFont="1"/>
    <xf borderId="4" fillId="0" fontId="2" numFmtId="0" xfId="0" applyAlignment="1" applyBorder="1" applyFont="1">
      <alignment/>
    </xf>
    <xf borderId="4" fillId="20" fontId="3" numFmtId="0" xfId="0" applyAlignment="1" applyBorder="1" applyFill="1" applyFont="1">
      <alignment/>
    </xf>
    <xf borderId="4" fillId="20" fontId="9" numFmtId="0" xfId="0" applyAlignment="1" applyBorder="1" applyFont="1">
      <alignment/>
    </xf>
    <xf borderId="4" fillId="21" fontId="3" numFmtId="0" xfId="0" applyAlignment="1" applyBorder="1" applyFill="1" applyFont="1">
      <alignment/>
    </xf>
    <xf borderId="4" fillId="21" fontId="9" numFmtId="0" xfId="0" applyAlignment="1" applyBorder="1" applyFont="1">
      <alignment/>
    </xf>
    <xf borderId="4" fillId="14" fontId="9" numFmtId="0" xfId="0" applyAlignment="1" applyBorder="1" applyFont="1">
      <alignment/>
    </xf>
    <xf borderId="4" fillId="21" fontId="9" numFmtId="0" xfId="0" applyAlignment="1" applyBorder="1" applyFont="1">
      <alignment/>
    </xf>
    <xf borderId="0" fillId="0" fontId="9" numFmtId="0" xfId="0" applyAlignment="1" applyFont="1">
      <alignment horizontal="center"/>
    </xf>
    <xf borderId="0" fillId="0" fontId="9" numFmtId="0" xfId="0" applyAlignment="1" applyFont="1">
      <alignment/>
    </xf>
    <xf borderId="0" fillId="14" fontId="9" numFmtId="0" xfId="0" applyAlignment="1" applyFont="1">
      <alignment/>
    </xf>
    <xf borderId="0" fillId="0" fontId="9" numFmtId="0" xfId="0" applyAlignment="1" applyFont="1">
      <alignment/>
    </xf>
    <xf borderId="0" fillId="8" fontId="3" numFmtId="0" xfId="0" applyAlignment="1" applyFont="1">
      <alignment/>
    </xf>
    <xf borderId="0" fillId="14" fontId="9" numFmtId="0" xfId="0" applyAlignment="1" applyFont="1">
      <alignment/>
    </xf>
    <xf borderId="0" fillId="0" fontId="9" numFmtId="0" xfId="0" applyAlignment="1" applyFont="1">
      <alignment/>
    </xf>
    <xf borderId="0" fillId="22" fontId="3" numFmtId="0" xfId="0" applyFill="1" applyFont="1"/>
    <xf borderId="4" fillId="8" fontId="5" numFmtId="0" xfId="0" applyAlignment="1" applyBorder="1" applyFont="1">
      <alignment/>
    </xf>
    <xf borderId="4" fillId="22" fontId="5" numFmtId="0" xfId="0" applyAlignment="1" applyBorder="1" applyFont="1">
      <alignment/>
    </xf>
    <xf borderId="4" fillId="0" fontId="6" numFmtId="0" xfId="0" applyAlignment="1" applyBorder="1" applyFont="1">
      <alignment horizontal="right"/>
    </xf>
    <xf borderId="4" fillId="22" fontId="3" numFmtId="0" xfId="0" applyBorder="1" applyFont="1"/>
    <xf borderId="0" fillId="0" fontId="5" numFmtId="0" xfId="0" applyAlignment="1" applyFont="1">
      <alignment/>
    </xf>
    <xf borderId="0" fillId="22" fontId="3" numFmtId="0" xfId="0" applyAlignment="1" applyFont="1">
      <alignment/>
    </xf>
    <xf borderId="0" fillId="22" fontId="5" numFmtId="0" xfId="0" applyAlignment="1" applyFont="1">
      <alignment/>
    </xf>
    <xf borderId="0" fillId="16" fontId="3" numFmtId="0" xfId="0" applyAlignment="1" applyFont="1">
      <alignment/>
    </xf>
    <xf borderId="0" fillId="0" fontId="10" numFmtId="0" xfId="0" applyAlignment="1" applyFont="1">
      <alignment/>
    </xf>
    <xf borderId="1" fillId="23" fontId="3" numFmtId="0" xfId="0" applyAlignment="1" applyBorder="1" applyFill="1" applyFont="1">
      <alignment horizontal="center"/>
    </xf>
    <xf borderId="4" fillId="17" fontId="3" numFmtId="0" xfId="0" applyAlignment="1" applyBorder="1" applyFont="1">
      <alignment horizontal="center"/>
    </xf>
    <xf borderId="4" fillId="17" fontId="6" numFmtId="0" xfId="0" applyAlignment="1" applyBorder="1" applyFont="1">
      <alignment horizontal="center"/>
    </xf>
    <xf borderId="0" fillId="2" fontId="2" numFmtId="0" xfId="0" applyFont="1"/>
    <xf borderId="0" fillId="9" fontId="4" numFmtId="0" xfId="0" applyAlignment="1" applyFont="1">
      <alignment horizontal="left"/>
    </xf>
    <xf borderId="0" fillId="13" fontId="3" numFmtId="0" xfId="0" applyAlignment="1" applyFont="1">
      <alignment/>
    </xf>
    <xf borderId="0" fillId="13" fontId="4" numFmtId="0" xfId="0" applyAlignment="1" applyFont="1">
      <alignment horizontal="left"/>
    </xf>
    <xf borderId="0" fillId="13" fontId="2" numFmtId="0" xfId="0" applyFont="1"/>
    <xf borderId="0" fillId="13" fontId="2" numFmtId="0" xfId="0" applyAlignment="1" applyFont="1">
      <alignment horizontal="center"/>
    </xf>
    <xf borderId="0" fillId="9" fontId="4" numFmtId="0" xfId="0" applyAlignment="1" applyFont="1">
      <alignment/>
    </xf>
    <xf borderId="0" fillId="13" fontId="4" numFmtId="0" xfId="0" applyAlignment="1" applyFont="1">
      <alignment/>
    </xf>
    <xf borderId="0" fillId="24" fontId="2" numFmtId="0" xfId="0" applyFill="1" applyFont="1"/>
    <xf borderId="0" fillId="24" fontId="2" numFmtId="0" xfId="0" applyAlignment="1" applyFont="1">
      <alignment horizontal="center"/>
    </xf>
    <xf borderId="0" fillId="24" fontId="2" numFmtId="0" xfId="0" applyAlignment="1" applyFont="1">
      <alignment/>
    </xf>
    <xf borderId="0" fillId="9" fontId="3" numFmtId="0" xfId="0" applyAlignment="1" applyFont="1">
      <alignment horizontal="center"/>
    </xf>
    <xf borderId="16" fillId="8" fontId="5" numFmtId="0" xfId="0" applyAlignment="1" applyBorder="1" applyFont="1">
      <alignment horizontal="center"/>
    </xf>
    <xf borderId="9" fillId="8" fontId="5" numFmtId="0" xfId="0" applyAlignment="1" applyBorder="1" applyFont="1">
      <alignment horizontal="center"/>
    </xf>
    <xf borderId="0" fillId="8" fontId="5" numFmtId="0" xfId="0" applyAlignment="1" applyFont="1">
      <alignment horizontal="center"/>
    </xf>
    <xf borderId="10" fillId="10" fontId="5" numFmtId="0" xfId="0" applyAlignment="1" applyBorder="1" applyFont="1">
      <alignment horizontal="center"/>
    </xf>
    <xf borderId="11" fillId="10" fontId="5" numFmtId="0" xfId="0" applyAlignment="1" applyBorder="1" applyFont="1">
      <alignment horizontal="center"/>
    </xf>
    <xf borderId="11" fillId="2" fontId="5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11" fillId="10" fontId="6" numFmtId="0" xfId="0" applyAlignment="1" applyBorder="1" applyFont="1">
      <alignment/>
    </xf>
    <xf borderId="0" fillId="2" fontId="6" numFmtId="0" xfId="0" applyAlignment="1" applyFont="1">
      <alignment/>
    </xf>
    <xf borderId="9" fillId="10" fontId="6" numFmtId="0" xfId="0" applyAlignment="1" applyBorder="1" applyFont="1">
      <alignment/>
    </xf>
    <xf borderId="10" fillId="10" fontId="6" numFmtId="0" xfId="0" applyAlignment="1" applyBorder="1" applyFont="1">
      <alignment/>
    </xf>
    <xf borderId="11" fillId="2" fontId="6" numFmtId="0" xfId="0" applyAlignment="1" applyBorder="1" applyFont="1">
      <alignment/>
    </xf>
    <xf borderId="3" fillId="0" fontId="3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8" fontId="6" numFmtId="0" xfId="0" applyAlignment="1" applyBorder="1" applyFont="1">
      <alignment/>
    </xf>
    <xf borderId="17" fillId="8" fontId="5" numFmtId="0" xfId="0" applyAlignment="1" applyBorder="1" applyFont="1">
      <alignment/>
    </xf>
    <xf borderId="18" fillId="0" fontId="6" numFmtId="0" xfId="0" applyAlignment="1" applyBorder="1" applyFont="1">
      <alignment/>
    </xf>
    <xf borderId="7" fillId="0" fontId="6" numFmtId="0" xfId="0" applyAlignment="1" applyBorder="1" applyFont="1">
      <alignment/>
    </xf>
    <xf borderId="7" fillId="10" fontId="5" numFmtId="0" xfId="0" applyAlignment="1" applyBorder="1" applyFont="1">
      <alignment horizontal="center"/>
    </xf>
    <xf borderId="8" fillId="10" fontId="5" numFmtId="0" xfId="0" applyAlignment="1" applyBorder="1" applyFont="1">
      <alignment horizontal="center"/>
    </xf>
    <xf borderId="18" fillId="0" fontId="6" numFmtId="0" xfId="0" applyAlignment="1" applyBorder="1" applyFont="1">
      <alignment/>
    </xf>
    <xf borderId="7" fillId="0" fontId="6" numFmtId="0" xfId="0" applyAlignment="1" applyBorder="1" applyFont="1">
      <alignment horizontal="right"/>
    </xf>
    <xf borderId="7" fillId="10" fontId="6" numFmtId="0" xfId="0" applyAlignment="1" applyBorder="1" applyFont="1">
      <alignment horizontal="right"/>
    </xf>
    <xf borderId="8" fillId="10" fontId="6" numFmtId="0" xfId="0" applyAlignment="1" applyBorder="1" applyFont="1">
      <alignment horizontal="right"/>
    </xf>
    <xf borderId="8" fillId="10" fontId="6" numFmtId="0" xfId="0" applyAlignment="1" applyBorder="1" applyFont="1">
      <alignment horizontal="right"/>
    </xf>
    <xf borderId="7" fillId="10" fontId="6" numFmtId="0" xfId="0" applyAlignment="1" applyBorder="1" applyFont="1">
      <alignment horizontal="right"/>
    </xf>
    <xf borderId="0" fillId="2" fontId="3" numFmtId="0" xfId="0" applyAlignment="1" applyFont="1">
      <alignment horizontal="center"/>
    </xf>
    <xf borderId="0" fillId="2" fontId="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0 byte Evaluation in operations per second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'Final Data'!$I$26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'Final Data'!$H$27:$H$32</c:f>
            </c:strRef>
          </c:cat>
          <c:val>
            <c:numRef>
              <c:f>'Final Data'!$I$27:$I$32</c:f>
            </c:numRef>
          </c:val>
          <c:smooth val="0"/>
        </c:ser>
        <c:ser>
          <c:idx val="1"/>
          <c:order val="1"/>
          <c:tx>
            <c:strRef>
              <c:f>'Final Data'!$J$26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'Final Data'!$H$27:$H$32</c:f>
            </c:strRef>
          </c:cat>
          <c:val>
            <c:numRef>
              <c:f>'Final Data'!$J$27:$J$32</c:f>
            </c:numRef>
          </c:val>
          <c:smooth val="0"/>
        </c:ser>
        <c:ser>
          <c:idx val="2"/>
          <c:order val="2"/>
          <c:tx>
            <c:strRef>
              <c:f>'Final Data'!$K$26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'Final Data'!$H$27:$H$32</c:f>
            </c:strRef>
          </c:cat>
          <c:val>
            <c:numRef>
              <c:f>'Final Data'!$K$27:$K$32</c:f>
            </c:numRef>
          </c:val>
          <c:smooth val="0"/>
        </c:ser>
        <c:ser>
          <c:idx val="3"/>
          <c:order val="3"/>
          <c:tx>
            <c:strRef>
              <c:f>'Final Data'!$L$26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'Final Data'!$H$27:$H$32</c:f>
            </c:strRef>
          </c:cat>
          <c:val>
            <c:numRef>
              <c:f>'Final Data'!$L$27:$L$32</c:f>
            </c:numRef>
          </c:val>
          <c:smooth val="0"/>
        </c:ser>
        <c:axId val="1139121494"/>
        <c:axId val="254066002"/>
      </c:lineChart>
      <c:catAx>
        <c:axId val="1139121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Metadata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4066002"/>
      </c:catAx>
      <c:valAx>
        <c:axId val="254066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Operations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39121494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495300</xdr:colOff>
      <xdr:row>32</xdr:row>
      <xdr:rowOff>180975</xdr:rowOff>
    </xdr:from>
    <xdr:to>
      <xdr:col>12</xdr:col>
      <xdr:colOff>438150</xdr:colOff>
      <xdr:row>50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"/>
      <c r="B3" s="2" t="s">
        <v>0</v>
      </c>
      <c r="C3" s="2" t="s">
        <v>1</v>
      </c>
      <c r="G3" s="1"/>
      <c r="H3" s="2" t="s">
        <v>0</v>
      </c>
      <c r="I3" s="2" t="s">
        <v>2</v>
      </c>
      <c r="M3" s="1"/>
      <c r="N3" s="2" t="s">
        <v>0</v>
      </c>
      <c r="O3" s="2" t="s">
        <v>3</v>
      </c>
      <c r="S3" s="1"/>
      <c r="T3" s="1"/>
      <c r="U3" s="1"/>
    </row>
    <row r="4">
      <c r="A4" s="1"/>
      <c r="B4" s="3"/>
      <c r="C4" s="4" t="s">
        <v>4</v>
      </c>
      <c r="D4" s="4" t="s">
        <v>5</v>
      </c>
      <c r="E4" s="4" t="s">
        <v>6</v>
      </c>
      <c r="F4" s="4" t="s">
        <v>7</v>
      </c>
      <c r="G4" s="1"/>
      <c r="H4" s="3"/>
      <c r="I4" s="4" t="s">
        <v>4</v>
      </c>
      <c r="J4" s="4" t="s">
        <v>5</v>
      </c>
      <c r="K4" s="4" t="s">
        <v>6</v>
      </c>
      <c r="L4" s="4" t="s">
        <v>7</v>
      </c>
      <c r="M4" s="1"/>
      <c r="N4" s="3"/>
      <c r="O4" s="4" t="s">
        <v>4</v>
      </c>
      <c r="P4" s="4" t="s">
        <v>5</v>
      </c>
      <c r="Q4" s="4" t="s">
        <v>6</v>
      </c>
      <c r="R4" s="4" t="s">
        <v>7</v>
      </c>
      <c r="S4" s="1"/>
      <c r="T4" s="1"/>
      <c r="U4" s="1"/>
    </row>
    <row r="5">
      <c r="A5" s="1"/>
      <c r="B5" s="4" t="s">
        <v>8</v>
      </c>
      <c r="C5" s="5">
        <v>0.29</v>
      </c>
      <c r="D5" s="5">
        <v>0.185</v>
      </c>
      <c r="E5" s="5">
        <v>1.084</v>
      </c>
      <c r="F5" s="5">
        <v>0.749</v>
      </c>
      <c r="G5" s="1"/>
      <c r="H5" s="4" t="s">
        <v>8</v>
      </c>
      <c r="I5" s="5">
        <v>0.457</v>
      </c>
      <c r="J5" s="5">
        <v>2.5</v>
      </c>
      <c r="K5" s="5">
        <v>1.309</v>
      </c>
      <c r="L5" s="5">
        <v>2.981</v>
      </c>
      <c r="M5" s="1"/>
      <c r="N5" s="4" t="s">
        <v>8</v>
      </c>
      <c r="O5" s="5">
        <v>1.59</v>
      </c>
      <c r="P5" s="5">
        <v>0.009</v>
      </c>
      <c r="Q5" s="5">
        <v>0.86</v>
      </c>
      <c r="R5" s="5">
        <v>12.5</v>
      </c>
      <c r="S5" s="1"/>
      <c r="T5" s="1"/>
      <c r="U5" s="1"/>
    </row>
    <row r="6">
      <c r="A6" s="1"/>
      <c r="B6" s="4" t="s">
        <v>9</v>
      </c>
      <c r="C6" s="5">
        <v>2.264</v>
      </c>
      <c r="D6" s="5">
        <v>2.065</v>
      </c>
      <c r="E6" s="5">
        <v>11.685</v>
      </c>
      <c r="F6" s="5">
        <v>8.568</v>
      </c>
      <c r="G6" s="1"/>
      <c r="H6" s="4" t="s">
        <v>9</v>
      </c>
      <c r="I6" s="5">
        <v>7.082</v>
      </c>
      <c r="J6" s="5">
        <v>19.8</v>
      </c>
      <c r="K6" s="5">
        <v>17.847</v>
      </c>
      <c r="L6" s="5">
        <v>31.245</v>
      </c>
      <c r="M6" s="1"/>
      <c r="N6" s="4" t="s">
        <v>9</v>
      </c>
      <c r="O6" s="5">
        <v>5.86</v>
      </c>
      <c r="P6" s="5">
        <v>75.4</v>
      </c>
      <c r="Q6" s="5">
        <v>12.77</v>
      </c>
      <c r="R6" s="5">
        <v>118.8</v>
      </c>
      <c r="S6" s="1"/>
      <c r="T6" s="1"/>
      <c r="U6" s="1"/>
    </row>
    <row r="7">
      <c r="A7" s="1"/>
      <c r="B7" s="4" t="s">
        <v>10</v>
      </c>
      <c r="C7" s="5">
        <v>19.778</v>
      </c>
      <c r="D7" s="5">
        <v>15.112</v>
      </c>
      <c r="E7" s="5">
        <v>117.111</v>
      </c>
      <c r="F7" s="5">
        <v>59.121</v>
      </c>
      <c r="G7" s="1"/>
      <c r="H7" s="4" t="s">
        <v>10</v>
      </c>
      <c r="I7" s="5">
        <v>61.576</v>
      </c>
      <c r="J7" s="5">
        <v>105.8</v>
      </c>
      <c r="K7" s="5">
        <v>159.118</v>
      </c>
      <c r="L7" s="5">
        <v>227.169</v>
      </c>
      <c r="M7" s="1"/>
      <c r="N7" s="4" t="s">
        <v>10</v>
      </c>
      <c r="O7" s="5">
        <v>156.43</v>
      </c>
      <c r="P7" s="5">
        <v>38.2</v>
      </c>
      <c r="Q7" s="5">
        <v>101.66</v>
      </c>
      <c r="R7" s="5">
        <v>903.5</v>
      </c>
      <c r="S7" s="1"/>
      <c r="T7" s="1"/>
      <c r="U7" s="1"/>
    </row>
    <row r="8">
      <c r="A8" s="1"/>
      <c r="B8" s="4" t="s">
        <v>11</v>
      </c>
      <c r="C8" s="5">
        <v>143.349</v>
      </c>
      <c r="D8" s="5">
        <v>44.691</v>
      </c>
      <c r="E8" s="5">
        <v>118.293</v>
      </c>
      <c r="F8" s="5">
        <v>153.237</v>
      </c>
      <c r="G8" s="1"/>
      <c r="H8" s="4" t="s">
        <v>11</v>
      </c>
      <c r="I8" s="5">
        <v>456.204</v>
      </c>
      <c r="J8" s="5">
        <v>769.4</v>
      </c>
      <c r="K8" s="5">
        <v>361.275</v>
      </c>
      <c r="L8" s="5">
        <v>610.258</v>
      </c>
      <c r="M8" s="1"/>
      <c r="N8" s="4" t="s">
        <v>11</v>
      </c>
      <c r="O8" s="5">
        <v>1336.45</v>
      </c>
      <c r="P8" s="5">
        <v>312.2</v>
      </c>
      <c r="Q8" s="5">
        <v>952.56</v>
      </c>
      <c r="R8" s="5">
        <v>2423.5</v>
      </c>
      <c r="S8" s="1"/>
      <c r="T8" s="1"/>
      <c r="U8" s="1"/>
    </row>
    <row r="9">
      <c r="A9" s="1"/>
      <c r="B9" s="4" t="s">
        <v>12</v>
      </c>
      <c r="C9" s="5">
        <v>276.549</v>
      </c>
      <c r="D9" s="5">
        <v>115.897</v>
      </c>
      <c r="E9" s="5">
        <v>162.246</v>
      </c>
      <c r="F9" s="5">
        <v>173.136</v>
      </c>
      <c r="G9" s="1"/>
      <c r="H9" s="4" t="s">
        <v>12</v>
      </c>
      <c r="I9" s="5">
        <v>1172.608</v>
      </c>
      <c r="J9" s="5">
        <v>1178.9</v>
      </c>
      <c r="K9" s="5">
        <v>392.968</v>
      </c>
      <c r="L9" s="5">
        <v>687.973</v>
      </c>
      <c r="M9" s="1"/>
      <c r="N9" s="4" t="s">
        <v>12</v>
      </c>
      <c r="O9" s="5">
        <v>2400.1</v>
      </c>
      <c r="P9" s="5">
        <v>454.2</v>
      </c>
      <c r="Q9" s="5">
        <v>1257.86</v>
      </c>
      <c r="R9" s="5">
        <v>2887.9</v>
      </c>
      <c r="S9" s="1"/>
      <c r="T9" s="1"/>
      <c r="U9" s="1"/>
    </row>
    <row r="10">
      <c r="A10" s="1"/>
      <c r="B10" s="4" t="s">
        <v>13</v>
      </c>
      <c r="C10" s="5">
        <v>341.904</v>
      </c>
      <c r="D10" s="5">
        <v>209.053</v>
      </c>
      <c r="E10" s="5">
        <v>120.72</v>
      </c>
      <c r="F10" s="5">
        <v>177.89</v>
      </c>
      <c r="G10" s="1"/>
      <c r="H10" s="4" t="s">
        <v>13</v>
      </c>
      <c r="I10" s="5">
        <v>1316.482</v>
      </c>
      <c r="J10" s="5">
        <v>1067.2</v>
      </c>
      <c r="K10" s="5">
        <v>427.63</v>
      </c>
      <c r="L10" s="5">
        <v>703.955</v>
      </c>
      <c r="M10" s="1"/>
      <c r="N10" s="4" t="s">
        <v>13</v>
      </c>
      <c r="O10" s="5">
        <v>4131.38</v>
      </c>
      <c r="P10" s="5">
        <v>4402.4</v>
      </c>
      <c r="Q10" s="5">
        <v>1630.69</v>
      </c>
      <c r="R10" s="5">
        <v>2873.5</v>
      </c>
      <c r="S10" s="1"/>
      <c r="T10" s="1"/>
      <c r="U10" s="1"/>
    </row>
    <row r="11">
      <c r="A11" s="1"/>
      <c r="B11" s="4" t="s">
        <v>14</v>
      </c>
      <c r="C11" s="5">
        <v>292.603</v>
      </c>
      <c r="D11" s="5">
        <v>308.283</v>
      </c>
      <c r="E11" s="5">
        <v>99.708</v>
      </c>
      <c r="F11" s="5">
        <v>183.437</v>
      </c>
      <c r="G11" s="1"/>
      <c r="H11" s="4" t="s">
        <v>14</v>
      </c>
      <c r="I11" s="5">
        <v>1150.483</v>
      </c>
      <c r="J11" s="5">
        <v>1150.3</v>
      </c>
      <c r="K11" s="5">
        <v>474.5</v>
      </c>
      <c r="L11" s="5">
        <v>676.958</v>
      </c>
      <c r="M11" s="1"/>
      <c r="N11" s="4" t="s">
        <v>14</v>
      </c>
      <c r="O11" s="5">
        <v>5270.09</v>
      </c>
      <c r="P11" s="5">
        <v>4475.3</v>
      </c>
      <c r="Q11" s="5">
        <v>1682.5</v>
      </c>
      <c r="R11" s="5">
        <v>2889.4</v>
      </c>
      <c r="S11" s="1"/>
      <c r="T11" s="1"/>
      <c r="U11" s="1"/>
    </row>
    <row r="12">
      <c r="A12" s="1"/>
      <c r="B12" s="4" t="s">
        <v>15</v>
      </c>
      <c r="C12" s="5">
        <v>294.811</v>
      </c>
      <c r="D12" s="5">
        <v>181.7</v>
      </c>
      <c r="E12" s="5">
        <v>133.944</v>
      </c>
      <c r="F12" s="5">
        <v>177.272</v>
      </c>
      <c r="G12" s="1"/>
      <c r="H12" s="4" t="s">
        <v>15</v>
      </c>
      <c r="I12" s="5">
        <v>1282.051</v>
      </c>
      <c r="J12" s="5">
        <v>1104.7</v>
      </c>
      <c r="K12" s="5">
        <v>431.729</v>
      </c>
      <c r="L12" s="5">
        <v>705.219</v>
      </c>
      <c r="M12" s="1"/>
      <c r="N12" s="4" t="s">
        <v>15</v>
      </c>
      <c r="O12" s="5">
        <v>3120.37</v>
      </c>
      <c r="P12" s="5">
        <v>4486.6</v>
      </c>
      <c r="Q12" s="5">
        <v>1752.02</v>
      </c>
      <c r="R12" s="5">
        <v>2778.5</v>
      </c>
      <c r="S12" s="1"/>
      <c r="T12" s="1"/>
      <c r="U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1"/>
      <c r="B14" s="2" t="s">
        <v>16</v>
      </c>
      <c r="C14" s="2" t="s">
        <v>1</v>
      </c>
      <c r="G14" s="1"/>
      <c r="H14" s="2" t="s">
        <v>16</v>
      </c>
      <c r="I14" s="2" t="s">
        <v>2</v>
      </c>
      <c r="L14" s="6"/>
      <c r="M14" s="1"/>
      <c r="N14" s="2" t="s">
        <v>16</v>
      </c>
      <c r="O14" s="2" t="s">
        <v>3</v>
      </c>
      <c r="S14" s="1"/>
      <c r="T14" s="1"/>
      <c r="U14" s="1"/>
    </row>
    <row r="15">
      <c r="A15" s="1"/>
      <c r="B15" s="3"/>
      <c r="C15" s="4" t="s">
        <v>4</v>
      </c>
      <c r="D15" s="4" t="s">
        <v>5</v>
      </c>
      <c r="E15" s="4" t="s">
        <v>6</v>
      </c>
      <c r="F15" s="4" t="s">
        <v>7</v>
      </c>
      <c r="G15" s="1"/>
      <c r="H15" s="3"/>
      <c r="I15" s="4" t="s">
        <v>4</v>
      </c>
      <c r="J15" s="4" t="s">
        <v>5</v>
      </c>
      <c r="K15" s="4" t="s">
        <v>6</v>
      </c>
      <c r="L15" s="4" t="s">
        <v>7</v>
      </c>
      <c r="M15" s="1"/>
      <c r="N15" s="3"/>
      <c r="O15" s="4" t="s">
        <v>4</v>
      </c>
      <c r="P15" s="4" t="s">
        <v>5</v>
      </c>
      <c r="Q15" s="4" t="s">
        <v>6</v>
      </c>
      <c r="R15" s="4" t="s">
        <v>7</v>
      </c>
      <c r="S15" s="1"/>
      <c r="T15" s="1"/>
      <c r="U15" s="1"/>
    </row>
    <row r="16">
      <c r="A16" s="1"/>
      <c r="B16" s="4" t="s">
        <v>8</v>
      </c>
      <c r="C16" s="5">
        <v>1.756</v>
      </c>
      <c r="D16" s="5">
        <v>0.749</v>
      </c>
      <c r="E16" s="5">
        <v>0.883</v>
      </c>
      <c r="F16" s="5">
        <v>1.487</v>
      </c>
      <c r="G16" s="1"/>
      <c r="H16" s="4" t="s">
        <v>8</v>
      </c>
      <c r="I16" s="5">
        <v>5.708</v>
      </c>
      <c r="J16" s="5">
        <v>0.7</v>
      </c>
      <c r="K16" s="5">
        <v>3.156</v>
      </c>
      <c r="L16" s="5">
        <v>5.969</v>
      </c>
      <c r="M16" s="1"/>
      <c r="N16" s="4" t="s">
        <v>8</v>
      </c>
      <c r="O16" s="5">
        <v>81.136</v>
      </c>
      <c r="P16" s="5">
        <v>0.002</v>
      </c>
      <c r="Q16" s="5">
        <v>2.439</v>
      </c>
      <c r="R16" s="5">
        <v>23.8</v>
      </c>
      <c r="S16" s="1"/>
      <c r="T16" s="1"/>
      <c r="U16" s="1"/>
    </row>
    <row r="17">
      <c r="A17" s="1"/>
      <c r="B17" s="4" t="s">
        <v>9</v>
      </c>
      <c r="C17" s="5">
        <v>7.102</v>
      </c>
      <c r="D17" s="5">
        <v>6.323</v>
      </c>
      <c r="E17" s="5">
        <v>8.377</v>
      </c>
      <c r="F17" s="5">
        <v>14.919</v>
      </c>
      <c r="G17" s="1"/>
      <c r="H17" s="4" t="s">
        <v>9</v>
      </c>
      <c r="I17" s="5">
        <v>25.0</v>
      </c>
      <c r="J17" s="5">
        <v>7.0</v>
      </c>
      <c r="K17" s="5">
        <v>79.509</v>
      </c>
      <c r="L17" s="5">
        <v>59.029</v>
      </c>
      <c r="M17" s="1"/>
      <c r="N17" s="4" t="s">
        <v>9</v>
      </c>
      <c r="O17" s="5">
        <v>45.455</v>
      </c>
      <c r="P17" s="5">
        <v>22.5</v>
      </c>
      <c r="Q17" s="5">
        <v>53.16</v>
      </c>
      <c r="R17" s="5">
        <v>236.8</v>
      </c>
      <c r="S17" s="1"/>
      <c r="T17" s="1"/>
      <c r="U17" s="1"/>
    </row>
    <row r="18">
      <c r="A18" s="1"/>
      <c r="B18" s="4" t="s">
        <v>10</v>
      </c>
      <c r="C18" s="5">
        <v>60.096</v>
      </c>
      <c r="D18" s="5">
        <v>31.718</v>
      </c>
      <c r="E18" s="5">
        <v>82.38</v>
      </c>
      <c r="F18" s="5">
        <v>118.758</v>
      </c>
      <c r="G18" s="1"/>
      <c r="H18" s="4" t="s">
        <v>10</v>
      </c>
      <c r="I18" s="5">
        <v>233.645</v>
      </c>
      <c r="J18" s="5">
        <v>53.4</v>
      </c>
      <c r="K18" s="5">
        <v>430.968</v>
      </c>
      <c r="L18" s="5">
        <v>488.005</v>
      </c>
      <c r="M18" s="1"/>
      <c r="N18" s="4" t="s">
        <v>10</v>
      </c>
      <c r="O18" s="5">
        <v>643.087</v>
      </c>
      <c r="P18" s="5">
        <v>23.5</v>
      </c>
      <c r="Q18" s="5">
        <v>485.572</v>
      </c>
      <c r="R18" s="5">
        <v>1898.2</v>
      </c>
      <c r="S18" s="1"/>
      <c r="T18" s="1"/>
      <c r="U18" s="1"/>
    </row>
    <row r="19">
      <c r="A19" s="1"/>
      <c r="B19" s="4" t="s">
        <v>11</v>
      </c>
      <c r="C19" s="5">
        <v>325.521</v>
      </c>
      <c r="D19" s="5">
        <v>225.021</v>
      </c>
      <c r="E19" s="5">
        <v>249.095</v>
      </c>
      <c r="F19" s="5">
        <v>284.251</v>
      </c>
      <c r="G19" s="1"/>
      <c r="H19" s="4" t="s">
        <v>11</v>
      </c>
      <c r="I19" s="5">
        <v>1552.795</v>
      </c>
      <c r="J19" s="5">
        <v>206.4</v>
      </c>
      <c r="K19" s="5">
        <v>627.95</v>
      </c>
      <c r="L19" s="5">
        <v>1281.716</v>
      </c>
      <c r="M19" s="1"/>
      <c r="N19" s="4" t="s">
        <v>11</v>
      </c>
      <c r="O19" s="5">
        <v>6600.66</v>
      </c>
      <c r="P19" s="5">
        <v>169.9</v>
      </c>
      <c r="Q19" s="5">
        <v>2145.235</v>
      </c>
      <c r="R19" s="5">
        <v>4873.6</v>
      </c>
      <c r="S19" s="1"/>
      <c r="T19" s="1"/>
      <c r="U19" s="1"/>
    </row>
    <row r="20">
      <c r="A20" s="1"/>
      <c r="B20" s="4" t="s">
        <v>12</v>
      </c>
      <c r="C20" s="5">
        <v>201.873</v>
      </c>
      <c r="D20" s="5">
        <v>316.049</v>
      </c>
      <c r="E20" s="5">
        <v>112.811</v>
      </c>
      <c r="F20" s="5">
        <v>226.395</v>
      </c>
      <c r="G20" s="1"/>
      <c r="H20" s="4" t="s">
        <v>12</v>
      </c>
      <c r="I20" s="5">
        <v>936.33</v>
      </c>
      <c r="J20" s="5">
        <v>959.6</v>
      </c>
      <c r="K20" s="5">
        <v>436.848</v>
      </c>
      <c r="L20" s="5">
        <v>906.389</v>
      </c>
      <c r="M20" s="1"/>
      <c r="N20" s="4" t="s">
        <v>12</v>
      </c>
      <c r="O20" s="5">
        <v>2904.655</v>
      </c>
      <c r="P20" s="5">
        <v>276.6</v>
      </c>
      <c r="Q20" s="5">
        <v>2541.011</v>
      </c>
      <c r="R20" s="5">
        <v>3745.8</v>
      </c>
      <c r="S20" s="1"/>
      <c r="T20" s="1"/>
      <c r="U20" s="1"/>
    </row>
    <row r="21">
      <c r="A21" s="1"/>
      <c r="B21" s="4" t="s">
        <v>13</v>
      </c>
      <c r="C21" s="5">
        <v>241.499</v>
      </c>
      <c r="D21" s="5">
        <v>283.492</v>
      </c>
      <c r="E21" s="5">
        <v>127.338</v>
      </c>
      <c r="F21" s="5">
        <v>227.795</v>
      </c>
      <c r="G21" s="1"/>
      <c r="H21" s="4" t="s">
        <v>13</v>
      </c>
      <c r="I21" s="5">
        <v>913.743</v>
      </c>
      <c r="J21" s="5">
        <v>1193.5</v>
      </c>
      <c r="K21" s="5">
        <v>449.185</v>
      </c>
      <c r="L21" s="5">
        <v>884.295</v>
      </c>
      <c r="M21" s="1"/>
      <c r="N21" s="4" t="s">
        <v>13</v>
      </c>
      <c r="O21" s="5">
        <v>4686.036</v>
      </c>
      <c r="P21" s="5">
        <v>3808.7</v>
      </c>
      <c r="Q21" s="5">
        <v>1759.798</v>
      </c>
      <c r="R21" s="5">
        <v>3694.5</v>
      </c>
      <c r="S21" s="1"/>
      <c r="T21" s="1"/>
      <c r="U21" s="1"/>
    </row>
    <row r="22">
      <c r="A22" s="1"/>
      <c r="B22" s="4" t="s">
        <v>14</v>
      </c>
      <c r="C22" s="5">
        <v>208.611</v>
      </c>
      <c r="D22" s="5">
        <v>290.234</v>
      </c>
      <c r="E22" s="5">
        <v>129.899</v>
      </c>
      <c r="F22" s="5">
        <v>201.974</v>
      </c>
      <c r="G22" s="1"/>
      <c r="H22" s="4" t="s">
        <v>14</v>
      </c>
      <c r="I22" s="5">
        <v>911.079</v>
      </c>
      <c r="J22" s="5">
        <v>1231.7</v>
      </c>
      <c r="K22" s="5">
        <v>333.232</v>
      </c>
      <c r="L22" s="5">
        <v>793.252</v>
      </c>
      <c r="M22" s="1"/>
      <c r="N22" s="4" t="s">
        <v>14</v>
      </c>
      <c r="O22" s="5">
        <v>3646.308</v>
      </c>
      <c r="P22" s="5">
        <v>4730.3</v>
      </c>
      <c r="Q22" s="5">
        <v>1376.257</v>
      </c>
      <c r="R22" s="5">
        <v>3232.1</v>
      </c>
      <c r="S22" s="1"/>
      <c r="T22" s="1"/>
      <c r="U22" s="1"/>
    </row>
    <row r="23">
      <c r="A23" s="1"/>
      <c r="B23" s="4" t="s">
        <v>15</v>
      </c>
      <c r="C23" s="5">
        <v>209.45</v>
      </c>
      <c r="D23" s="5">
        <v>298.79</v>
      </c>
      <c r="E23" s="5">
        <v>119.338</v>
      </c>
      <c r="F23" s="5">
        <v>201.99</v>
      </c>
      <c r="G23" s="1"/>
      <c r="H23" s="4" t="s">
        <v>15</v>
      </c>
      <c r="I23" s="5">
        <v>905.469</v>
      </c>
      <c r="J23" s="5">
        <v>527.6</v>
      </c>
      <c r="K23" s="5">
        <v>401.3</v>
      </c>
      <c r="L23" s="5">
        <v>806.802</v>
      </c>
      <c r="M23" s="1"/>
      <c r="N23" s="4" t="s">
        <v>15</v>
      </c>
      <c r="O23" s="5">
        <v>2329.509</v>
      </c>
      <c r="P23" s="5">
        <v>2107.0</v>
      </c>
      <c r="Q23" s="5">
        <v>1497.481</v>
      </c>
      <c r="R23" s="5">
        <v>3247.8</v>
      </c>
      <c r="S23" s="1"/>
      <c r="T23" s="1"/>
      <c r="U23" s="1"/>
    </row>
    <row r="24">
      <c r="A24" s="1"/>
      <c r="S24" s="1"/>
      <c r="T24" s="1"/>
      <c r="U24" s="1"/>
    </row>
    <row r="25">
      <c r="A25" s="1"/>
      <c r="B25" s="7" t="s">
        <v>17</v>
      </c>
      <c r="C25" s="8"/>
      <c r="D25" s="8"/>
      <c r="E25" s="9"/>
      <c r="H25" s="7" t="s">
        <v>18</v>
      </c>
      <c r="I25" s="8"/>
      <c r="J25" s="8"/>
      <c r="K25" s="8"/>
      <c r="L25" s="9"/>
      <c r="N25" s="7" t="s">
        <v>19</v>
      </c>
      <c r="O25" s="8"/>
      <c r="P25" s="8"/>
      <c r="Q25" s="8"/>
      <c r="R25" s="9"/>
      <c r="S25" s="1"/>
      <c r="T25" s="1"/>
      <c r="U25" s="1"/>
    </row>
    <row r="26">
      <c r="A26" s="1"/>
      <c r="B26" s="10" t="s">
        <v>20</v>
      </c>
      <c r="C26" s="11" t="s">
        <v>4</v>
      </c>
      <c r="D26" s="11" t="s">
        <v>6</v>
      </c>
      <c r="E26" s="11" t="s">
        <v>7</v>
      </c>
      <c r="H26" s="10" t="s">
        <v>20</v>
      </c>
      <c r="I26" s="11" t="s">
        <v>4</v>
      </c>
      <c r="J26" s="11" t="s">
        <v>5</v>
      </c>
      <c r="K26" s="11" t="s">
        <v>6</v>
      </c>
      <c r="L26" s="11" t="s">
        <v>7</v>
      </c>
      <c r="N26" s="10" t="s">
        <v>20</v>
      </c>
      <c r="O26" s="11" t="s">
        <v>4</v>
      </c>
      <c r="P26" s="11" t="s">
        <v>5</v>
      </c>
      <c r="Q26" s="11" t="s">
        <v>6</v>
      </c>
      <c r="R26" s="11" t="s">
        <v>7</v>
      </c>
      <c r="S26" s="1"/>
      <c r="T26" s="1"/>
      <c r="U26" s="1"/>
    </row>
    <row r="27">
      <c r="A27" s="1"/>
      <c r="B27" s="12" t="s">
        <v>1</v>
      </c>
      <c r="C27" s="13">
        <v>3869.969040247678</v>
      </c>
      <c r="D27" s="13">
        <v>2285.714285714286</v>
      </c>
      <c r="E27" s="13">
        <v>4763.038818766373</v>
      </c>
      <c r="H27" s="10" t="s">
        <v>21</v>
      </c>
      <c r="I27" s="13">
        <v>2539.6825396825398</v>
      </c>
      <c r="J27" s="13">
        <v>207.4400984303267</v>
      </c>
      <c r="K27" s="13">
        <v>1250.2246497417505</v>
      </c>
      <c r="L27" s="13">
        <v>1597.0773484523322</v>
      </c>
      <c r="N27" s="12" t="s">
        <v>1</v>
      </c>
      <c r="O27" s="13">
        <v>542.3728813559322</v>
      </c>
      <c r="P27" s="13">
        <v>1434.553002250455</v>
      </c>
      <c r="Q27" s="13">
        <v>1244.0905697934809</v>
      </c>
      <c r="R27" s="13">
        <v>801.5228934976456</v>
      </c>
      <c r="S27" s="1"/>
      <c r="T27" s="1"/>
      <c r="U27" s="1"/>
    </row>
    <row r="28">
      <c r="A28" s="1"/>
      <c r="B28" s="10" t="s">
        <v>2</v>
      </c>
      <c r="C28" s="13">
        <v>15479.876160990712</v>
      </c>
      <c r="D28" s="13">
        <v>29239.098156566237</v>
      </c>
      <c r="E28" s="13">
        <v>19850.654838984825</v>
      </c>
      <c r="H28" s="10" t="s">
        <v>22</v>
      </c>
      <c r="I28" s="13">
        <v>542.3728813559322</v>
      </c>
      <c r="J28" s="13">
        <v>1434.553002250455</v>
      </c>
      <c r="K28" s="13">
        <v>1244.0905697934809</v>
      </c>
      <c r="L28" s="13">
        <v>801.5228934976456</v>
      </c>
      <c r="N28" s="10" t="s">
        <v>2</v>
      </c>
      <c r="O28" s="13">
        <v>1603.0056355666875</v>
      </c>
      <c r="P28" s="13">
        <v>5383.308379455949</v>
      </c>
      <c r="Q28" s="13">
        <v>1488.4802674612981</v>
      </c>
      <c r="R28" s="13">
        <v>3277.1313835255014</v>
      </c>
      <c r="S28" s="1"/>
      <c r="T28" s="1"/>
      <c r="U28" s="1"/>
    </row>
    <row r="29">
      <c r="A29" s="1"/>
      <c r="B29" s="10" t="s">
        <v>3</v>
      </c>
      <c r="C29" s="13" t="str">
        <f>640000/15</f>
        <v>42666.66667</v>
      </c>
      <c r="D29" s="13">
        <v>21272.75031317062</v>
      </c>
      <c r="E29" s="13">
        <v>79990.7823121945</v>
      </c>
      <c r="H29" s="10" t="s">
        <v>23</v>
      </c>
      <c r="I29" s="13">
        <v>7529.411764705882</v>
      </c>
      <c r="J29" s="13">
        <v>759.6754761325398</v>
      </c>
      <c r="K29" s="13">
        <v>1520.246897597713</v>
      </c>
      <c r="L29" s="13">
        <v>6272.772491932383</v>
      </c>
      <c r="N29" s="10" t="s">
        <v>3</v>
      </c>
      <c r="O29" s="13">
        <v>1859.6204485607918</v>
      </c>
      <c r="P29" s="13">
        <v>12030.44265919777</v>
      </c>
      <c r="Q29" s="13">
        <v>979.9439728517241</v>
      </c>
      <c r="R29" s="13">
        <v>13185.978308808148</v>
      </c>
      <c r="S29" s="1"/>
      <c r="T29" s="1"/>
      <c r="U29" s="1"/>
    </row>
    <row r="30">
      <c r="A30" s="1"/>
      <c r="H30" s="10" t="s">
        <v>24</v>
      </c>
      <c r="I30" s="13">
        <v>1603.0056355666875</v>
      </c>
      <c r="J30" s="13">
        <v>5383.308379455949</v>
      </c>
      <c r="K30" s="13">
        <v>1488.4802674612981</v>
      </c>
      <c r="L30" s="13">
        <v>3277.1313835255014</v>
      </c>
      <c r="S30" s="1"/>
      <c r="T30" s="1"/>
      <c r="U30" s="1"/>
    </row>
    <row r="31">
      <c r="A31" s="1"/>
      <c r="H31" s="10" t="s">
        <v>25</v>
      </c>
      <c r="I31" s="13">
        <v>17066.666666666668</v>
      </c>
      <c r="J31" s="13">
        <v>2722.8118989007176</v>
      </c>
      <c r="K31" s="13">
        <v>848.5564027423537</v>
      </c>
      <c r="L31" s="13">
        <v>25821.044277165205</v>
      </c>
      <c r="S31" s="1"/>
      <c r="T31" s="1"/>
      <c r="U31" s="1"/>
    </row>
    <row r="32">
      <c r="A32" s="1"/>
      <c r="H32" s="10" t="s">
        <v>26</v>
      </c>
      <c r="I32" s="13">
        <v>1859.6204485607918</v>
      </c>
      <c r="J32" s="13">
        <v>12030.44265919777</v>
      </c>
      <c r="K32" s="13">
        <v>979.9439728517241</v>
      </c>
      <c r="L32" s="13">
        <v>13185.978308808148</v>
      </c>
      <c r="S32" s="1"/>
      <c r="T32" s="1"/>
      <c r="U32" s="1"/>
    </row>
    <row r="33">
      <c r="A33" s="1"/>
      <c r="S33" s="1"/>
      <c r="T33" s="1"/>
      <c r="U33" s="1"/>
    </row>
    <row r="34">
      <c r="A34" s="1"/>
      <c r="S34" s="1"/>
      <c r="T34" s="1"/>
      <c r="U34" s="1"/>
    </row>
    <row r="35">
      <c r="A35" s="1"/>
      <c r="S35" s="1"/>
      <c r="T35" s="1"/>
      <c r="U35" s="1"/>
    </row>
    <row r="36">
      <c r="A36" s="1"/>
      <c r="S36" s="1"/>
      <c r="T36" s="1"/>
      <c r="U36" s="1"/>
    </row>
    <row r="37">
      <c r="A37" s="1"/>
      <c r="S37" s="1"/>
      <c r="T37" s="1"/>
      <c r="U37" s="1"/>
    </row>
    <row r="38">
      <c r="A38" s="1"/>
      <c r="S38" s="1"/>
      <c r="T38" s="1"/>
      <c r="U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87">
      <c r="A87" s="14" t="s">
        <v>5</v>
      </c>
      <c r="B87" s="15"/>
      <c r="C87" s="16" t="s">
        <v>27</v>
      </c>
      <c r="E87" s="17" t="s">
        <v>28</v>
      </c>
      <c r="G87" s="16" t="s">
        <v>29</v>
      </c>
      <c r="I87" s="17" t="s">
        <v>30</v>
      </c>
    </row>
    <row r="88">
      <c r="A88" s="18"/>
      <c r="B88" s="19" t="s">
        <v>31</v>
      </c>
      <c r="C88" s="16" t="s">
        <v>16</v>
      </c>
      <c r="D88" s="16" t="s">
        <v>0</v>
      </c>
      <c r="E88" s="17" t="s">
        <v>16</v>
      </c>
      <c r="F88" s="17" t="s">
        <v>0</v>
      </c>
      <c r="G88" s="16" t="s">
        <v>16</v>
      </c>
      <c r="H88" s="16" t="s">
        <v>0</v>
      </c>
      <c r="I88" s="17" t="s">
        <v>16</v>
      </c>
      <c r="J88" s="17" t="s">
        <v>0</v>
      </c>
    </row>
    <row r="89">
      <c r="A89" s="18"/>
      <c r="B89" s="19" t="s">
        <v>32</v>
      </c>
      <c r="C89" s="16">
        <v>2127.356</v>
      </c>
      <c r="D89" s="16">
        <v>476.448</v>
      </c>
      <c r="E89" s="17">
        <v>27.88</v>
      </c>
      <c r="F89" s="17">
        <v>192.82</v>
      </c>
      <c r="G89" s="16">
        <v>29.72</v>
      </c>
      <c r="H89" s="16">
        <v>210.61</v>
      </c>
      <c r="I89" s="17">
        <v>53.19</v>
      </c>
      <c r="J89" s="17">
        <v>235.01</v>
      </c>
    </row>
    <row r="90">
      <c r="A90" s="18"/>
      <c r="B90" s="19" t="s">
        <v>33</v>
      </c>
      <c r="C90" s="16">
        <v>2939.896</v>
      </c>
      <c r="D90" s="16">
        <v>788.488</v>
      </c>
      <c r="E90" s="17">
        <v>52.16</v>
      </c>
      <c r="F90" s="17">
        <v>211.23</v>
      </c>
      <c r="G90" s="16">
        <v>62.67</v>
      </c>
      <c r="H90" s="16">
        <v>236.126</v>
      </c>
      <c r="I90" s="17">
        <v>65.36</v>
      </c>
      <c r="J90" s="17">
        <v>250.46</v>
      </c>
    </row>
    <row r="91">
      <c r="A91" s="18"/>
      <c r="B91" s="19" t="s">
        <v>34</v>
      </c>
      <c r="C91" s="16">
        <v>312.25</v>
      </c>
      <c r="D91" s="16">
        <v>104.212</v>
      </c>
      <c r="E91" s="17">
        <v>6.17</v>
      </c>
      <c r="F91" s="17">
        <v>18.91</v>
      </c>
      <c r="G91" s="16">
        <v>7.88</v>
      </c>
      <c r="H91" s="16">
        <v>22.36</v>
      </c>
      <c r="I91" s="17">
        <v>8.22</v>
      </c>
      <c r="J91" s="17">
        <v>27.78</v>
      </c>
    </row>
    <row r="92">
      <c r="A92" s="18"/>
      <c r="B92" s="19" t="s">
        <v>35</v>
      </c>
      <c r="C92" s="16">
        <v>369.643</v>
      </c>
      <c r="D92" s="16">
        <v>118.061</v>
      </c>
      <c r="E92" s="17">
        <v>12.31</v>
      </c>
      <c r="F92" s="17">
        <v>25.84</v>
      </c>
      <c r="G92" s="16">
        <v>14.76</v>
      </c>
      <c r="H92" s="16">
        <v>29.23</v>
      </c>
      <c r="I92" s="17">
        <v>16.37</v>
      </c>
      <c r="J92" s="17">
        <v>26.55</v>
      </c>
    </row>
    <row r="93">
      <c r="A93" s="18"/>
      <c r="B93" s="19" t="s">
        <v>36</v>
      </c>
      <c r="C93" s="16">
        <v>439.747</v>
      </c>
      <c r="D93" s="16">
        <v>138.381</v>
      </c>
      <c r="E93" s="17">
        <v>17.35</v>
      </c>
      <c r="F93" s="17">
        <v>87.4</v>
      </c>
      <c r="G93" s="16">
        <v>20.3</v>
      </c>
      <c r="H93" s="16">
        <v>75.71</v>
      </c>
      <c r="I93" s="17">
        <v>20.01</v>
      </c>
      <c r="J93" s="17">
        <v>36.78</v>
      </c>
    </row>
    <row r="94">
      <c r="A94" s="18"/>
      <c r="B94" s="19" t="s">
        <v>37</v>
      </c>
      <c r="C94" s="16">
        <v>1285.966</v>
      </c>
      <c r="D94" s="16">
        <v>267.105</v>
      </c>
      <c r="E94" s="17">
        <v>123.59</v>
      </c>
      <c r="F94" s="17">
        <v>337.04</v>
      </c>
      <c r="G94" s="16">
        <v>132.54</v>
      </c>
      <c r="H94" s="16">
        <v>162.83</v>
      </c>
      <c r="I94" s="17">
        <v>137.61</v>
      </c>
      <c r="J94" s="17">
        <v>225.61</v>
      </c>
    </row>
    <row r="95">
      <c r="A95" s="18"/>
      <c r="B95" s="19" t="s">
        <v>38</v>
      </c>
      <c r="C95" s="16">
        <v>839.861</v>
      </c>
      <c r="D95" s="16">
        <v>120.132</v>
      </c>
      <c r="E95" s="17">
        <v>137.79</v>
      </c>
      <c r="F95" s="17">
        <v>186.85</v>
      </c>
      <c r="G95" s="16">
        <v>146.4</v>
      </c>
      <c r="H95" s="16">
        <v>130.9</v>
      </c>
      <c r="I95" s="17">
        <v>141.96</v>
      </c>
      <c r="J95" s="17">
        <v>164.09</v>
      </c>
    </row>
    <row r="96">
      <c r="A96" s="18"/>
      <c r="B96" s="19" t="s">
        <v>39</v>
      </c>
      <c r="C96" s="16">
        <v>714.952</v>
      </c>
      <c r="D96" s="16">
        <v>152.89</v>
      </c>
      <c r="E96" s="17">
        <v>134.58</v>
      </c>
      <c r="F96" s="17">
        <v>126.7</v>
      </c>
      <c r="G96" s="16">
        <v>135.83</v>
      </c>
      <c r="H96" s="16">
        <v>126.81</v>
      </c>
      <c r="I96" s="17">
        <v>139.65</v>
      </c>
      <c r="J96" s="17">
        <v>132.12</v>
      </c>
    </row>
    <row r="97">
      <c r="A97" s="18"/>
      <c r="B97" s="19" t="s">
        <v>40</v>
      </c>
      <c r="C97" s="16">
        <v>1128.058</v>
      </c>
      <c r="D97" s="16">
        <v>136.799</v>
      </c>
      <c r="E97" s="17">
        <v>130.73</v>
      </c>
      <c r="F97" s="17">
        <v>214.98</v>
      </c>
      <c r="G97" s="16">
        <v>141.44</v>
      </c>
      <c r="H97" s="16">
        <v>291.13</v>
      </c>
      <c r="I97" s="17">
        <v>139.3</v>
      </c>
      <c r="J97" s="17">
        <v>296.63</v>
      </c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</row>
    <row r="102">
      <c r="A102" s="14" t="s">
        <v>4</v>
      </c>
      <c r="B102" s="15"/>
      <c r="C102" s="16" t="s">
        <v>27</v>
      </c>
      <c r="E102" s="17" t="s">
        <v>28</v>
      </c>
      <c r="G102" s="16" t="s">
        <v>29</v>
      </c>
      <c r="I102" s="17" t="s">
        <v>30</v>
      </c>
    </row>
    <row r="103">
      <c r="A103" s="18"/>
      <c r="B103" s="19" t="s">
        <v>31</v>
      </c>
      <c r="C103" s="16" t="s">
        <v>16</v>
      </c>
      <c r="D103" s="16" t="s">
        <v>0</v>
      </c>
      <c r="E103" s="17" t="s">
        <v>16</v>
      </c>
      <c r="F103" s="17" t="s">
        <v>0</v>
      </c>
      <c r="G103" s="16" t="s">
        <v>16</v>
      </c>
      <c r="H103" s="16" t="s">
        <v>0</v>
      </c>
      <c r="I103" s="17" t="s">
        <v>16</v>
      </c>
      <c r="J103" s="17" t="s">
        <v>0</v>
      </c>
    </row>
    <row r="104">
      <c r="A104" s="18"/>
      <c r="B104" s="19" t="s">
        <v>32</v>
      </c>
      <c r="C104" s="16">
        <v>63.0</v>
      </c>
      <c r="D104" s="16">
        <v>15.0</v>
      </c>
      <c r="E104" s="17">
        <v>73.75</v>
      </c>
      <c r="F104" s="17">
        <v>15.75</v>
      </c>
      <c r="G104" s="16">
        <v>99.81</v>
      </c>
      <c r="H104" s="16">
        <v>21.25</v>
      </c>
      <c r="I104" s="17">
        <v>344.156</v>
      </c>
      <c r="J104" s="17">
        <v>37.5</v>
      </c>
    </row>
    <row r="105">
      <c r="A105" s="18"/>
      <c r="B105" s="19" t="s">
        <v>33</v>
      </c>
      <c r="C105" s="16">
        <v>102.0</v>
      </c>
      <c r="D105" s="16">
        <v>21.0</v>
      </c>
      <c r="E105" s="17">
        <v>134.5</v>
      </c>
      <c r="F105" s="17">
        <v>22.25</v>
      </c>
      <c r="G105" s="16">
        <v>341.68</v>
      </c>
      <c r="H105" s="16">
        <v>27.37</v>
      </c>
      <c r="I105" s="17">
        <v>394.31</v>
      </c>
      <c r="J105" s="17">
        <v>7.7</v>
      </c>
    </row>
    <row r="106">
      <c r="A106" s="18"/>
      <c r="B106" s="19" t="s">
        <v>34</v>
      </c>
      <c r="C106" s="16">
        <v>18.0</v>
      </c>
      <c r="D106" s="16">
        <v>6.0</v>
      </c>
      <c r="E106" s="17">
        <v>17.25</v>
      </c>
      <c r="F106" s="17">
        <v>5.5</v>
      </c>
      <c r="G106" s="16">
        <v>22.06</v>
      </c>
      <c r="H106" s="16">
        <v>6.25</v>
      </c>
      <c r="I106" s="17">
        <v>106.7</v>
      </c>
      <c r="J106" s="17">
        <v>13.75</v>
      </c>
    </row>
    <row r="107">
      <c r="A107" s="18"/>
      <c r="B107" s="19" t="s">
        <v>35</v>
      </c>
      <c r="C107" s="16">
        <v>23.0</v>
      </c>
      <c r="D107" s="16">
        <v>6.0</v>
      </c>
      <c r="E107" s="17">
        <v>19.75</v>
      </c>
      <c r="F107" s="17">
        <v>6.5</v>
      </c>
      <c r="G107" s="16">
        <v>25.37</v>
      </c>
      <c r="H107" s="16">
        <v>6.68</v>
      </c>
      <c r="I107" s="17">
        <v>39.95</v>
      </c>
      <c r="J107" s="17">
        <v>9.71</v>
      </c>
    </row>
    <row r="108">
      <c r="A108" s="18"/>
      <c r="B108" s="19" t="s">
        <v>36</v>
      </c>
      <c r="C108" s="16">
        <v>28.0</v>
      </c>
      <c r="D108" s="16">
        <v>11.0</v>
      </c>
      <c r="E108" s="17">
        <v>27.25</v>
      </c>
      <c r="F108" s="17">
        <v>12.0</v>
      </c>
      <c r="G108" s="16">
        <v>34.25</v>
      </c>
      <c r="H108" s="16">
        <v>10.06</v>
      </c>
      <c r="I108" s="17">
        <v>46.76</v>
      </c>
      <c r="J108" s="17">
        <v>9.46</v>
      </c>
    </row>
    <row r="109">
      <c r="A109" s="18"/>
      <c r="B109" s="19" t="s">
        <v>37</v>
      </c>
      <c r="C109" s="16">
        <v>589.0</v>
      </c>
      <c r="D109" s="16">
        <v>195.0</v>
      </c>
      <c r="E109" s="17">
        <v>141.25</v>
      </c>
      <c r="F109" s="17">
        <v>193.5</v>
      </c>
      <c r="G109" s="16">
        <v>133.25</v>
      </c>
      <c r="H109" s="16">
        <v>166.87</v>
      </c>
      <c r="I109" s="17">
        <v>260.4</v>
      </c>
      <c r="J109" s="17">
        <v>215.17</v>
      </c>
    </row>
    <row r="110">
      <c r="A110" s="18"/>
      <c r="B110" s="19" t="s">
        <v>38</v>
      </c>
      <c r="C110" s="16">
        <v>943.0</v>
      </c>
      <c r="D110" s="16">
        <v>430.0</v>
      </c>
      <c r="E110" s="17">
        <v>114.25</v>
      </c>
      <c r="F110" s="17">
        <v>161.75</v>
      </c>
      <c r="G110" s="16">
        <v>118.68</v>
      </c>
      <c r="H110" s="16">
        <v>171.0</v>
      </c>
      <c r="I110" s="17">
        <v>151.281</v>
      </c>
      <c r="J110" s="17">
        <v>133.37</v>
      </c>
    </row>
    <row r="111">
      <c r="A111" s="18"/>
      <c r="B111" s="19" t="s">
        <v>39</v>
      </c>
      <c r="C111" s="16">
        <v>1203.0</v>
      </c>
      <c r="D111" s="16">
        <v>703.0</v>
      </c>
      <c r="E111" s="17">
        <v>133.5</v>
      </c>
      <c r="F111" s="17">
        <v>187.25</v>
      </c>
      <c r="G111" s="16">
        <v>135.8</v>
      </c>
      <c r="H111" s="16">
        <v>171.5</v>
      </c>
      <c r="I111" s="17">
        <v>118.59</v>
      </c>
      <c r="J111" s="17">
        <v>171.4</v>
      </c>
    </row>
    <row r="112">
      <c r="A112" s="18"/>
      <c r="B112" s="19" t="s">
        <v>40</v>
      </c>
      <c r="C112" s="16">
        <v>1250.0</v>
      </c>
      <c r="D112" s="16">
        <v>843.0</v>
      </c>
      <c r="E112" s="17">
        <v>132.5</v>
      </c>
      <c r="F112" s="17">
        <v>186.5</v>
      </c>
      <c r="G112" s="16">
        <v>121.87</v>
      </c>
      <c r="H112" s="16">
        <v>172.62</v>
      </c>
      <c r="I112" s="17">
        <v>200.29</v>
      </c>
      <c r="J112" s="17">
        <v>268.29</v>
      </c>
    </row>
  </sheetData>
  <mergeCells count="17">
    <mergeCell ref="H25:L25"/>
    <mergeCell ref="N25:R25"/>
    <mergeCell ref="B25:E25"/>
    <mergeCell ref="I14:K14"/>
    <mergeCell ref="C14:F14"/>
    <mergeCell ref="E87:F87"/>
    <mergeCell ref="C87:D87"/>
    <mergeCell ref="I3:L3"/>
    <mergeCell ref="O3:R3"/>
    <mergeCell ref="C102:D102"/>
    <mergeCell ref="E102:F102"/>
    <mergeCell ref="G102:H102"/>
    <mergeCell ref="I102:J102"/>
    <mergeCell ref="O14:R14"/>
    <mergeCell ref="C3:F3"/>
    <mergeCell ref="G87:H87"/>
    <mergeCell ref="I87:J8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</cols>
  <sheetData>
    <row r="2">
      <c r="A2" s="20" t="s">
        <v>41</v>
      </c>
      <c r="B2" s="20" t="s">
        <v>42</v>
      </c>
      <c r="C2" s="21" t="s">
        <v>43</v>
      </c>
      <c r="D2" s="8"/>
      <c r="E2" s="22" t="s">
        <v>44</v>
      </c>
      <c r="F2" s="8"/>
      <c r="G2" s="23" t="s">
        <v>45</v>
      </c>
      <c r="H2" s="8"/>
      <c r="I2" s="22" t="s">
        <v>46</v>
      </c>
      <c r="J2" s="8"/>
    </row>
    <row r="3">
      <c r="A3" s="24"/>
      <c r="B3" s="24"/>
      <c r="C3" s="25" t="s">
        <v>16</v>
      </c>
      <c r="D3" s="25" t="s">
        <v>0</v>
      </c>
      <c r="E3" s="26" t="s">
        <v>16</v>
      </c>
      <c r="F3" s="26" t="s">
        <v>0</v>
      </c>
      <c r="G3" s="25" t="s">
        <v>16</v>
      </c>
      <c r="H3" s="25" t="s">
        <v>0</v>
      </c>
      <c r="I3" s="26" t="s">
        <v>16</v>
      </c>
      <c r="J3" s="26" t="s">
        <v>0</v>
      </c>
      <c r="K3" s="27" t="s">
        <v>47</v>
      </c>
      <c r="L3" s="27" t="s">
        <v>48</v>
      </c>
      <c r="M3" s="27" t="s">
        <v>16</v>
      </c>
      <c r="N3" s="27" t="s">
        <v>47</v>
      </c>
      <c r="O3" s="27" t="s">
        <v>48</v>
      </c>
      <c r="P3" s="27" t="s">
        <v>0</v>
      </c>
    </row>
    <row r="4">
      <c r="A4" s="24">
        <v>10000.0</v>
      </c>
      <c r="B4" s="24">
        <v>0.0</v>
      </c>
      <c r="C4" s="28">
        <v>26.423</v>
      </c>
      <c r="D4" s="28">
        <v>195.158</v>
      </c>
      <c r="E4" s="29">
        <v>28.141</v>
      </c>
      <c r="F4" s="29">
        <v>193.59</v>
      </c>
      <c r="G4" s="30">
        <v>27.977</v>
      </c>
      <c r="H4" s="30">
        <v>198.802</v>
      </c>
      <c r="I4" s="31">
        <v>28.992</v>
      </c>
      <c r="J4" s="31">
        <v>183.757</v>
      </c>
      <c r="K4" t="str">
        <f t="shared" ref="K4:K12" si="1">AVERAGE(I4,G4,E4,C4)</f>
        <v>27.88325</v>
      </c>
      <c r="L4" t="str">
        <f>4*A4/K4</f>
        <v>1434.553002</v>
      </c>
      <c r="M4" s="32" t="str">
        <f t="shared" ref="M4:M12" si="2">L4/1024/1024</f>
        <v>0.001368096354</v>
      </c>
      <c r="N4" t="str">
        <f t="shared" ref="N4:N12" si="3">AVERAGE(J4,H4,F4,D4)</f>
        <v>192.82675</v>
      </c>
      <c r="O4" t="str">
        <f>4*A4/N4</f>
        <v>207.4400984</v>
      </c>
      <c r="P4" s="32" t="str">
        <f t="shared" ref="P4:P12" si="4">O4/1024/1024</f>
        <v>0.0001978302941</v>
      </c>
    </row>
    <row r="5">
      <c r="A5" s="24">
        <v>10000.0</v>
      </c>
      <c r="B5" s="24">
        <v>1024.0</v>
      </c>
      <c r="C5" s="30">
        <v>51.148</v>
      </c>
      <c r="D5" s="30">
        <v>219.568</v>
      </c>
      <c r="E5" s="29">
        <v>51.68</v>
      </c>
      <c r="F5" s="29">
        <v>203.249</v>
      </c>
      <c r="G5" s="30">
        <v>51.019</v>
      </c>
      <c r="H5" s="30">
        <v>211.965</v>
      </c>
      <c r="I5" s="29">
        <v>54.827</v>
      </c>
      <c r="J5" s="29">
        <v>210.167</v>
      </c>
      <c r="K5" t="str">
        <f t="shared" si="1"/>
        <v>52.1685</v>
      </c>
      <c r="L5" t="str">
        <f t="shared" ref="L5:L12" si="5">4*A5*B5/K5</f>
        <v>785148.1258</v>
      </c>
      <c r="M5" s="32" t="str">
        <f t="shared" si="2"/>
        <v>0.7487756021</v>
      </c>
      <c r="N5" t="str">
        <f t="shared" si="3"/>
        <v>211.23725</v>
      </c>
      <c r="O5" t="str">
        <f t="shared" ref="O5:O12" si="6">4*A5*B5/N5</f>
        <v>193905.1943</v>
      </c>
      <c r="P5" s="32" t="str">
        <f t="shared" si="4"/>
        <v>0.1849224036</v>
      </c>
    </row>
    <row r="6">
      <c r="A6" s="24">
        <v>1000.0</v>
      </c>
      <c r="B6" s="24" t="str">
        <f t="shared" ref="B6:B12" si="7">B5*10</f>
        <v>10240</v>
      </c>
      <c r="C6" s="30">
        <v>5.937</v>
      </c>
      <c r="D6" s="30">
        <v>17.237</v>
      </c>
      <c r="E6" s="29">
        <v>6.504</v>
      </c>
      <c r="F6" s="29">
        <v>20.789</v>
      </c>
      <c r="G6" s="30">
        <v>5.604</v>
      </c>
      <c r="H6" s="30">
        <v>18.361</v>
      </c>
      <c r="I6" s="29">
        <v>6.666</v>
      </c>
      <c r="J6" s="29">
        <v>19.291</v>
      </c>
      <c r="K6" t="str">
        <f t="shared" si="1"/>
        <v>6.17775</v>
      </c>
      <c r="L6" t="str">
        <f t="shared" si="5"/>
        <v>6630245.64</v>
      </c>
      <c r="M6" s="32" t="str">
        <f t="shared" si="2"/>
        <v>6.323094978</v>
      </c>
      <c r="N6" t="str">
        <f t="shared" si="3"/>
        <v>18.9195</v>
      </c>
      <c r="O6" t="str">
        <f t="shared" si="6"/>
        <v>2164962.076</v>
      </c>
      <c r="P6" s="32" t="str">
        <f t="shared" si="4"/>
        <v>2.064668728</v>
      </c>
    </row>
    <row r="7">
      <c r="A7" s="24">
        <v>1000.0</v>
      </c>
      <c r="B7" s="24" t="str">
        <f t="shared" si="7"/>
        <v>102400</v>
      </c>
      <c r="C7" s="30">
        <v>12.686</v>
      </c>
      <c r="D7" s="30">
        <v>25.411</v>
      </c>
      <c r="E7" s="29">
        <v>12.415</v>
      </c>
      <c r="F7" s="29">
        <v>27.981</v>
      </c>
      <c r="G7" s="30">
        <v>12.043</v>
      </c>
      <c r="H7" s="30">
        <v>20.518</v>
      </c>
      <c r="I7" s="29">
        <v>12.119</v>
      </c>
      <c r="J7" s="29">
        <v>29.485</v>
      </c>
      <c r="K7" t="str">
        <f t="shared" si="1"/>
        <v>12.31575</v>
      </c>
      <c r="L7" t="str">
        <f t="shared" si="5"/>
        <v>33258226.25</v>
      </c>
      <c r="M7" s="32" t="str">
        <f t="shared" si="2"/>
        <v>31.71751619</v>
      </c>
      <c r="N7" t="str">
        <f t="shared" si="3"/>
        <v>25.84875</v>
      </c>
      <c r="O7" t="str">
        <f t="shared" si="6"/>
        <v>15846027.37</v>
      </c>
      <c r="P7" s="32" t="str">
        <f t="shared" si="4"/>
        <v>15.11194932</v>
      </c>
    </row>
    <row r="8">
      <c r="A8" s="24">
        <v>1000.0</v>
      </c>
      <c r="B8" s="24" t="str">
        <f t="shared" si="7"/>
        <v>1024000</v>
      </c>
      <c r="C8" s="30">
        <v>17.044</v>
      </c>
      <c r="D8" s="30">
        <v>86.712</v>
      </c>
      <c r="E8" s="29">
        <v>16.495</v>
      </c>
      <c r="F8" s="29">
        <v>86.951</v>
      </c>
      <c r="G8" s="30">
        <v>17.436</v>
      </c>
      <c r="H8" s="30">
        <v>85.243</v>
      </c>
      <c r="I8" s="29">
        <v>18.463</v>
      </c>
      <c r="J8" s="29">
        <v>90.717</v>
      </c>
      <c r="K8" t="str">
        <f t="shared" si="1"/>
        <v>17.3595</v>
      </c>
      <c r="L8" t="str">
        <f t="shared" si="5"/>
        <v>235951496.3</v>
      </c>
      <c r="M8" s="32" t="str">
        <f t="shared" si="2"/>
        <v>225.0208819</v>
      </c>
      <c r="N8" t="str">
        <f t="shared" si="3"/>
        <v>87.40575</v>
      </c>
      <c r="O8" t="str">
        <f t="shared" si="6"/>
        <v>46861905.54</v>
      </c>
      <c r="P8" s="32" t="str">
        <f t="shared" si="4"/>
        <v>44.69099573</v>
      </c>
    </row>
    <row r="9">
      <c r="A9" s="24">
        <v>1000.0</v>
      </c>
      <c r="B9" s="24" t="str">
        <f t="shared" si="7"/>
        <v>10240000</v>
      </c>
      <c r="C9" s="30">
        <v>121.893</v>
      </c>
      <c r="D9" s="30">
        <v>341.163</v>
      </c>
      <c r="E9" s="29">
        <v>122.931</v>
      </c>
      <c r="F9" s="29">
        <v>341.841</v>
      </c>
      <c r="G9" s="30">
        <v>121.569</v>
      </c>
      <c r="H9" s="30">
        <v>337.63</v>
      </c>
      <c r="I9" s="29">
        <v>127.992</v>
      </c>
      <c r="J9" s="29">
        <v>327.543</v>
      </c>
      <c r="K9" t="str">
        <f t="shared" si="1"/>
        <v>123.59625</v>
      </c>
      <c r="L9" t="str">
        <f t="shared" si="5"/>
        <v>331401640.4</v>
      </c>
      <c r="M9" s="32" t="str">
        <f t="shared" si="2"/>
        <v>316.0492329</v>
      </c>
      <c r="N9" t="str">
        <f t="shared" si="3"/>
        <v>337.04425</v>
      </c>
      <c r="O9" t="str">
        <f t="shared" si="6"/>
        <v>121527069.5</v>
      </c>
      <c r="P9" s="32" t="str">
        <f t="shared" si="4"/>
        <v>115.8972449</v>
      </c>
    </row>
    <row r="10">
      <c r="A10" s="24">
        <v>100.0</v>
      </c>
      <c r="B10" s="24" t="str">
        <f t="shared" si="7"/>
        <v>102400000</v>
      </c>
      <c r="C10" s="30">
        <v>132.392</v>
      </c>
      <c r="D10" s="30">
        <v>186.047</v>
      </c>
      <c r="E10" s="29">
        <v>126.895</v>
      </c>
      <c r="F10" s="29">
        <v>188.923</v>
      </c>
      <c r="G10" s="30">
        <v>150.087</v>
      </c>
      <c r="H10" s="30">
        <v>185.132</v>
      </c>
      <c r="I10" s="29">
        <v>141.787</v>
      </c>
      <c r="J10" s="29">
        <v>187.317</v>
      </c>
      <c r="K10" t="str">
        <f t="shared" si="1"/>
        <v>137.79025</v>
      </c>
      <c r="L10" t="str">
        <f t="shared" si="5"/>
        <v>297263413</v>
      </c>
      <c r="M10" s="32" t="str">
        <f t="shared" si="2"/>
        <v>283.4924822</v>
      </c>
      <c r="N10" t="str">
        <f t="shared" si="3"/>
        <v>186.85475</v>
      </c>
      <c r="O10" t="str">
        <f t="shared" si="6"/>
        <v>219207700.1</v>
      </c>
      <c r="P10" s="32" t="str">
        <f t="shared" si="4"/>
        <v>209.0527535</v>
      </c>
    </row>
    <row r="11">
      <c r="A11" s="24">
        <v>10.0</v>
      </c>
      <c r="B11" s="24" t="str">
        <f t="shared" si="7"/>
        <v>1024000000</v>
      </c>
      <c r="C11" s="30">
        <v>129.965</v>
      </c>
      <c r="D11" s="30">
        <v>126.534</v>
      </c>
      <c r="E11" s="29">
        <v>126.411</v>
      </c>
      <c r="F11" s="29">
        <v>126.935</v>
      </c>
      <c r="G11" s="30">
        <v>125.705</v>
      </c>
      <c r="H11" s="30">
        <v>126.361</v>
      </c>
      <c r="I11" s="29">
        <v>156.278</v>
      </c>
      <c r="J11" s="29">
        <v>127.009</v>
      </c>
      <c r="K11" t="str">
        <f t="shared" si="1"/>
        <v>134.58975</v>
      </c>
      <c r="L11" t="str">
        <f t="shared" si="5"/>
        <v>304332239.3</v>
      </c>
      <c r="M11" s="32" t="str">
        <f t="shared" si="2"/>
        <v>290.2338402</v>
      </c>
      <c r="N11" t="str">
        <f t="shared" si="3"/>
        <v>126.70975</v>
      </c>
      <c r="O11" t="str">
        <f t="shared" si="6"/>
        <v>323258470.6</v>
      </c>
      <c r="P11" s="32" t="str">
        <f t="shared" si="4"/>
        <v>308.283301</v>
      </c>
    </row>
    <row r="12">
      <c r="A12" s="24">
        <v>1.0</v>
      </c>
      <c r="B12" s="24" t="str">
        <f t="shared" si="7"/>
        <v>10240000000</v>
      </c>
      <c r="C12" s="30">
        <v>133.006</v>
      </c>
      <c r="D12" s="30">
        <v>201.439</v>
      </c>
      <c r="E12" s="29">
        <v>126.512</v>
      </c>
      <c r="F12" s="29">
        <v>204.552</v>
      </c>
      <c r="G12" s="33">
        <v>124.609</v>
      </c>
      <c r="H12" s="30">
        <v>234.156</v>
      </c>
      <c r="I12" s="29">
        <v>138.816</v>
      </c>
      <c r="J12" s="29">
        <v>219.785</v>
      </c>
      <c r="K12" t="str">
        <f t="shared" si="1"/>
        <v>130.73575</v>
      </c>
      <c r="L12" t="str">
        <f t="shared" si="5"/>
        <v>313303744.4</v>
      </c>
      <c r="M12" s="32" t="str">
        <f t="shared" si="2"/>
        <v>298.7897343</v>
      </c>
      <c r="N12" t="str">
        <f t="shared" si="3"/>
        <v>214.983</v>
      </c>
      <c r="O12" t="str">
        <f t="shared" si="6"/>
        <v>190526692.8</v>
      </c>
      <c r="P12" s="32" t="str">
        <f t="shared" si="4"/>
        <v>181.7004135</v>
      </c>
    </row>
    <row r="15">
      <c r="A15" s="20" t="s">
        <v>41</v>
      </c>
      <c r="B15" s="20" t="s">
        <v>42</v>
      </c>
      <c r="C15" s="21" t="s">
        <v>43</v>
      </c>
      <c r="D15" s="8"/>
      <c r="E15" s="22" t="s">
        <v>44</v>
      </c>
      <c r="F15" s="8"/>
      <c r="J15" s="20" t="s">
        <v>49</v>
      </c>
      <c r="K15" s="34" t="s">
        <v>42</v>
      </c>
      <c r="L15" s="35" t="s">
        <v>5</v>
      </c>
      <c r="M15" s="8"/>
      <c r="N15" s="36" t="s">
        <v>50</v>
      </c>
      <c r="O15" s="37"/>
    </row>
    <row r="16">
      <c r="A16" s="24"/>
      <c r="B16" s="24"/>
      <c r="C16" s="25" t="s">
        <v>16</v>
      </c>
      <c r="D16" s="25" t="s">
        <v>0</v>
      </c>
      <c r="E16" s="26" t="s">
        <v>16</v>
      </c>
      <c r="F16" s="26" t="s">
        <v>0</v>
      </c>
      <c r="J16" s="38" t="s">
        <v>31</v>
      </c>
      <c r="K16" s="39"/>
      <c r="L16" s="40" t="s">
        <v>16</v>
      </c>
      <c r="M16" s="40" t="s">
        <v>0</v>
      </c>
      <c r="N16" s="41" t="s">
        <v>16</v>
      </c>
      <c r="O16" s="42" t="s">
        <v>0</v>
      </c>
    </row>
    <row r="17">
      <c r="A17" s="24">
        <v>10000.0</v>
      </c>
      <c r="B17" s="24">
        <v>0.0</v>
      </c>
      <c r="C17" s="28">
        <v>28.519</v>
      </c>
      <c r="D17" s="28">
        <v>222.087</v>
      </c>
      <c r="E17" s="29">
        <v>29.153</v>
      </c>
      <c r="F17" s="29">
        <v>195.45</v>
      </c>
      <c r="J17" s="24">
        <v>10000.0</v>
      </c>
      <c r="K17" s="43">
        <v>0.0</v>
      </c>
      <c r="L17" s="44">
        <v>30.129</v>
      </c>
      <c r="M17" s="44">
        <v>191.233</v>
      </c>
      <c r="N17" s="45">
        <v>2127.356</v>
      </c>
      <c r="O17" s="45">
        <v>476.448</v>
      </c>
    </row>
    <row r="18">
      <c r="A18" s="24">
        <v>10000.0</v>
      </c>
      <c r="B18" s="24">
        <v>1024.0</v>
      </c>
      <c r="C18" s="30">
        <v>55.942</v>
      </c>
      <c r="D18" s="30">
        <v>217.456</v>
      </c>
      <c r="E18" s="29">
        <v>63.398</v>
      </c>
      <c r="F18" s="29">
        <v>223.378</v>
      </c>
      <c r="J18" s="24">
        <v>10000.0</v>
      </c>
      <c r="K18" s="43">
        <v>1024.0</v>
      </c>
      <c r="L18" s="44">
        <v>54.533</v>
      </c>
      <c r="M18" s="44">
        <v>263.495</v>
      </c>
      <c r="N18" s="46">
        <v>2939.896</v>
      </c>
      <c r="O18" s="46">
        <v>788.488</v>
      </c>
    </row>
    <row r="19">
      <c r="A19" s="24">
        <v>1000.0</v>
      </c>
      <c r="B19" s="24" t="str">
        <f t="shared" ref="B19:B25" si="8">B18*10</f>
        <v>10240</v>
      </c>
      <c r="C19" s="30">
        <v>5.724</v>
      </c>
      <c r="D19" s="30">
        <v>16.067</v>
      </c>
      <c r="E19" s="29">
        <v>6.119</v>
      </c>
      <c r="F19" s="29">
        <v>19.628</v>
      </c>
      <c r="J19" s="24">
        <v>1000.0</v>
      </c>
      <c r="K19" s="43" t="str">
        <f t="shared" ref="K19:K25" si="9">K18*10</f>
        <v>10240</v>
      </c>
      <c r="L19" s="44">
        <v>6.466</v>
      </c>
      <c r="M19" s="44">
        <v>21.373</v>
      </c>
      <c r="N19" s="46">
        <v>312.25</v>
      </c>
      <c r="O19" s="46">
        <v>104.212</v>
      </c>
    </row>
    <row r="20">
      <c r="A20" s="24">
        <v>1000.0</v>
      </c>
      <c r="B20" s="24" t="str">
        <f t="shared" si="8"/>
        <v>102400</v>
      </c>
      <c r="C20" s="30">
        <v>11.849</v>
      </c>
      <c r="D20" s="30">
        <v>26.245</v>
      </c>
      <c r="E20" s="29">
        <v>11.278</v>
      </c>
      <c r="F20" s="29">
        <v>21.607</v>
      </c>
      <c r="J20" s="24">
        <v>1000.0</v>
      </c>
      <c r="K20" s="43" t="str">
        <f t="shared" si="9"/>
        <v>102400</v>
      </c>
      <c r="L20" s="44">
        <v>11.893</v>
      </c>
      <c r="M20" s="44">
        <v>23.592</v>
      </c>
      <c r="N20" s="46">
        <v>369.643</v>
      </c>
      <c r="O20" s="46">
        <v>118.061</v>
      </c>
    </row>
    <row r="21">
      <c r="A21" s="24">
        <v>1000.0</v>
      </c>
      <c r="B21" s="24" t="str">
        <f t="shared" si="8"/>
        <v>1024000</v>
      </c>
      <c r="C21" s="30">
        <v>17.631</v>
      </c>
      <c r="D21" s="30">
        <v>33.347</v>
      </c>
      <c r="E21" s="29">
        <v>17.61</v>
      </c>
      <c r="F21" s="29">
        <v>29.641</v>
      </c>
      <c r="J21" s="24">
        <v>1000.0</v>
      </c>
      <c r="K21" s="43" t="str">
        <f t="shared" si="9"/>
        <v>1024000</v>
      </c>
      <c r="L21" s="44">
        <v>17.459</v>
      </c>
      <c r="M21" s="44">
        <v>30.909</v>
      </c>
      <c r="N21" s="46">
        <v>439.747</v>
      </c>
      <c r="O21" s="46">
        <v>138.381</v>
      </c>
    </row>
    <row r="22">
      <c r="A22" s="24">
        <v>1000.0</v>
      </c>
      <c r="B22" s="24" t="str">
        <f t="shared" si="8"/>
        <v>10240000</v>
      </c>
      <c r="C22" s="30">
        <v>131.119</v>
      </c>
      <c r="D22" s="30">
        <v>151.608</v>
      </c>
      <c r="E22" s="29">
        <v>122.381</v>
      </c>
      <c r="F22" s="29">
        <v>145.038</v>
      </c>
      <c r="J22" s="24">
        <v>1000.0</v>
      </c>
      <c r="K22" s="43" t="str">
        <f t="shared" si="9"/>
        <v>10240000</v>
      </c>
      <c r="L22" s="44">
        <v>132.97</v>
      </c>
      <c r="M22" s="44">
        <v>143.714</v>
      </c>
      <c r="N22" s="46">
        <v>1285.966</v>
      </c>
      <c r="O22" s="46">
        <v>267.105</v>
      </c>
    </row>
    <row r="23">
      <c r="A23" s="24">
        <v>100.0</v>
      </c>
      <c r="B23" s="24" t="str">
        <f t="shared" si="8"/>
        <v>102400000</v>
      </c>
      <c r="C23" s="30">
        <v>139.527</v>
      </c>
      <c r="D23" s="30">
        <v>132.859</v>
      </c>
      <c r="E23" s="29">
        <v>129.096</v>
      </c>
      <c r="F23" s="29">
        <v>129.585</v>
      </c>
      <c r="J23" s="24">
        <v>100.0</v>
      </c>
      <c r="K23" s="43" t="str">
        <f t="shared" si="9"/>
        <v>102400000</v>
      </c>
      <c r="L23" s="44">
        <v>135.198</v>
      </c>
      <c r="M23" s="44">
        <v>129.698</v>
      </c>
      <c r="N23" s="46">
        <v>839.861</v>
      </c>
      <c r="O23" s="46">
        <v>120.132</v>
      </c>
    </row>
    <row r="24">
      <c r="A24" s="24">
        <v>10.0</v>
      </c>
      <c r="B24" s="24" t="str">
        <f t="shared" si="8"/>
        <v>1024000000</v>
      </c>
      <c r="C24" s="30">
        <v>137.63</v>
      </c>
      <c r="D24" s="30">
        <v>126.504</v>
      </c>
      <c r="E24" s="29">
        <v>145.706</v>
      </c>
      <c r="F24" s="29">
        <v>126.657</v>
      </c>
      <c r="J24" s="24">
        <v>10.0</v>
      </c>
      <c r="K24" s="43" t="str">
        <f t="shared" si="9"/>
        <v>1024000000</v>
      </c>
      <c r="L24" s="44">
        <v>139.35</v>
      </c>
      <c r="M24" s="44">
        <v>126.597</v>
      </c>
      <c r="N24" s="46">
        <v>714.952</v>
      </c>
      <c r="O24" s="46">
        <v>152.89</v>
      </c>
    </row>
    <row r="25">
      <c r="A25" s="24">
        <v>1.0</v>
      </c>
      <c r="B25" s="24" t="str">
        <f t="shared" si="8"/>
        <v>10240000000</v>
      </c>
      <c r="C25" s="30">
        <v>145.995</v>
      </c>
      <c r="D25" s="30">
        <v>234.793</v>
      </c>
      <c r="E25" s="29">
        <v>127.88</v>
      </c>
      <c r="F25" s="29">
        <v>224.634</v>
      </c>
      <c r="J25" s="24">
        <v>1.0</v>
      </c>
      <c r="K25" s="43" t="str">
        <f t="shared" si="9"/>
        <v>10240000000</v>
      </c>
      <c r="L25" s="44">
        <v>134.146</v>
      </c>
      <c r="M25" s="44">
        <v>233.083</v>
      </c>
      <c r="N25" s="46">
        <v>1128.058</v>
      </c>
      <c r="O25" s="46">
        <v>136.799</v>
      </c>
    </row>
    <row r="32">
      <c r="D32" s="47" t="s">
        <v>51</v>
      </c>
      <c r="E32" s="48">
        <v>1024.0</v>
      </c>
      <c r="F32" s="9"/>
      <c r="G32" s="48">
        <v>10240.0</v>
      </c>
      <c r="H32" s="9"/>
      <c r="I32" s="48">
        <v>102400.0</v>
      </c>
      <c r="J32" s="9"/>
      <c r="K32" s="48">
        <v>1024000.0</v>
      </c>
      <c r="L32" s="9"/>
      <c r="M32" s="48">
        <v>1.024E7</v>
      </c>
      <c r="N32" s="9"/>
      <c r="O32" s="48">
        <v>1.024E8</v>
      </c>
      <c r="P32" s="9"/>
      <c r="Q32" s="48">
        <v>1.024E9</v>
      </c>
      <c r="R32" s="9"/>
      <c r="S32" s="48">
        <v>1.024E10</v>
      </c>
      <c r="T32" s="9"/>
      <c r="U32" s="48">
        <v>0.0</v>
      </c>
      <c r="V32" s="9"/>
    </row>
    <row r="33">
      <c r="D33" s="49" t="s">
        <v>52</v>
      </c>
      <c r="E33" s="50">
        <v>10000.0</v>
      </c>
      <c r="F33" s="9"/>
      <c r="G33" s="50">
        <v>1000.0</v>
      </c>
      <c r="H33" s="9"/>
      <c r="I33" s="50">
        <v>1000.0</v>
      </c>
      <c r="J33" s="9"/>
      <c r="K33" s="50">
        <v>1000.0</v>
      </c>
      <c r="L33" s="9"/>
      <c r="M33" s="50">
        <v>1000.0</v>
      </c>
      <c r="N33" s="9"/>
      <c r="O33" s="50">
        <v>100.0</v>
      </c>
      <c r="P33" s="9"/>
      <c r="Q33" s="50">
        <v>10.0</v>
      </c>
      <c r="R33" s="9"/>
      <c r="S33" s="50">
        <v>1.0</v>
      </c>
      <c r="T33" s="9"/>
      <c r="U33" s="50">
        <v>10000.0</v>
      </c>
      <c r="V33" s="9"/>
    </row>
    <row r="34">
      <c r="D34" s="51" t="s">
        <v>53</v>
      </c>
      <c r="E34" s="52" t="s">
        <v>16</v>
      </c>
      <c r="F34" s="52" t="s">
        <v>0</v>
      </c>
      <c r="G34" s="52" t="s">
        <v>16</v>
      </c>
      <c r="H34" s="52" t="s">
        <v>0</v>
      </c>
      <c r="I34" s="52" t="s">
        <v>16</v>
      </c>
      <c r="J34" s="52" t="s">
        <v>0</v>
      </c>
      <c r="K34" s="52" t="s">
        <v>16</v>
      </c>
      <c r="L34" s="52" t="s">
        <v>0</v>
      </c>
      <c r="M34" s="52" t="s">
        <v>16</v>
      </c>
      <c r="N34" s="52" t="s">
        <v>0</v>
      </c>
      <c r="O34" s="52" t="s">
        <v>16</v>
      </c>
      <c r="P34" s="52" t="s">
        <v>0</v>
      </c>
      <c r="Q34" s="52" t="s">
        <v>16</v>
      </c>
      <c r="R34" s="52" t="s">
        <v>0</v>
      </c>
      <c r="S34" s="52" t="s">
        <v>16</v>
      </c>
      <c r="T34" s="52" t="s">
        <v>0</v>
      </c>
      <c r="U34" s="52" t="s">
        <v>16</v>
      </c>
      <c r="V34" s="52" t="s">
        <v>0</v>
      </c>
    </row>
    <row r="35">
      <c r="D35" s="53">
        <v>1.0</v>
      </c>
      <c r="E35" s="54">
        <v>59.579</v>
      </c>
      <c r="F35" s="54">
        <v>241.015</v>
      </c>
      <c r="G35" s="54">
        <v>7.406</v>
      </c>
      <c r="H35" s="54">
        <v>21.952</v>
      </c>
      <c r="I35" s="54">
        <v>16.051</v>
      </c>
      <c r="J35" s="54">
        <v>27.086</v>
      </c>
      <c r="K35" s="54">
        <v>19.017</v>
      </c>
      <c r="L35" s="54">
        <v>81.527</v>
      </c>
      <c r="M35" s="54">
        <v>125.636</v>
      </c>
      <c r="N35" s="54">
        <v>155.299</v>
      </c>
      <c r="O35" s="54">
        <v>159.785</v>
      </c>
      <c r="P35" s="54">
        <v>129.961</v>
      </c>
      <c r="Q35" s="54">
        <v>136.866</v>
      </c>
      <c r="R35" s="54">
        <v>126.048</v>
      </c>
      <c r="S35" s="54">
        <v>142.59</v>
      </c>
      <c r="T35" s="54">
        <v>308.507</v>
      </c>
      <c r="U35" s="55">
        <v>30.98</v>
      </c>
      <c r="V35" s="55">
        <v>215.636</v>
      </c>
    </row>
    <row r="36">
      <c r="D36" s="53">
        <v>2.0</v>
      </c>
      <c r="E36" s="56">
        <v>61.201</v>
      </c>
      <c r="F36" s="56">
        <v>242.896</v>
      </c>
      <c r="G36" s="56">
        <v>10.392</v>
      </c>
      <c r="H36" s="56">
        <v>20.83</v>
      </c>
      <c r="I36" s="56">
        <v>14.228</v>
      </c>
      <c r="J36" s="56">
        <v>25.983</v>
      </c>
      <c r="K36" s="56">
        <v>19.251</v>
      </c>
      <c r="L36" s="56">
        <v>81.845</v>
      </c>
      <c r="M36" s="56">
        <v>123.75</v>
      </c>
      <c r="N36" s="56">
        <v>155.317</v>
      </c>
      <c r="O36" s="56">
        <v>137.536</v>
      </c>
      <c r="P36" s="56">
        <v>128.765</v>
      </c>
      <c r="Q36" s="56">
        <v>133.978</v>
      </c>
      <c r="R36" s="56">
        <v>126.55</v>
      </c>
      <c r="S36" s="56">
        <v>138.647</v>
      </c>
      <c r="T36" s="56">
        <v>335.838</v>
      </c>
      <c r="U36" s="56">
        <v>27.534</v>
      </c>
      <c r="V36" s="56">
        <v>216.367</v>
      </c>
    </row>
    <row r="37">
      <c r="D37" s="53">
        <v>3.0</v>
      </c>
      <c r="E37" s="54">
        <v>62.876</v>
      </c>
      <c r="F37" s="54">
        <v>235.251</v>
      </c>
      <c r="G37" s="54">
        <v>8.017</v>
      </c>
      <c r="H37" s="54">
        <v>24.194</v>
      </c>
      <c r="I37" s="54">
        <v>13.996</v>
      </c>
      <c r="J37" s="54">
        <v>39.855</v>
      </c>
      <c r="K37" s="54">
        <v>19.32</v>
      </c>
      <c r="L37" s="54">
        <v>65.885</v>
      </c>
      <c r="M37" s="54">
        <v>131.625</v>
      </c>
      <c r="N37" s="54">
        <v>161.039</v>
      </c>
      <c r="O37" s="54">
        <v>151.076</v>
      </c>
      <c r="P37" s="54">
        <v>131.193</v>
      </c>
      <c r="Q37" s="54">
        <v>138.155</v>
      </c>
      <c r="R37" s="54">
        <v>126.481</v>
      </c>
      <c r="S37" s="54">
        <v>136.32</v>
      </c>
      <c r="T37" s="54">
        <v>290.784</v>
      </c>
      <c r="U37" s="54">
        <v>26.913</v>
      </c>
      <c r="V37" s="54">
        <v>200.375</v>
      </c>
    </row>
    <row r="38">
      <c r="D38" s="53">
        <v>4.0</v>
      </c>
      <c r="E38" s="56">
        <v>62.089</v>
      </c>
      <c r="F38" s="56">
        <v>230.655</v>
      </c>
      <c r="G38" s="56">
        <v>8.96</v>
      </c>
      <c r="H38" s="56">
        <v>22.152</v>
      </c>
      <c r="I38" s="56">
        <v>15.249</v>
      </c>
      <c r="J38" s="56">
        <v>27.224</v>
      </c>
      <c r="K38" s="56">
        <v>19.141</v>
      </c>
      <c r="L38" s="56">
        <v>78.515</v>
      </c>
      <c r="M38" s="56">
        <v>124.247</v>
      </c>
      <c r="N38" s="56">
        <v>187.803</v>
      </c>
      <c r="O38" s="56">
        <v>133.582</v>
      </c>
      <c r="P38" s="56">
        <v>128.947</v>
      </c>
      <c r="Q38" s="56">
        <v>126.434</v>
      </c>
      <c r="R38" s="56">
        <v>125.843</v>
      </c>
      <c r="S38" s="56">
        <v>126.534</v>
      </c>
      <c r="T38" s="56">
        <v>309.549</v>
      </c>
      <c r="U38" s="57">
        <v>30.953</v>
      </c>
      <c r="V38" s="57">
        <v>224.113</v>
      </c>
    </row>
    <row r="39">
      <c r="D39" s="53">
        <v>5.0</v>
      </c>
      <c r="E39" s="54">
        <v>60.218</v>
      </c>
      <c r="F39" s="54">
        <v>232.274</v>
      </c>
      <c r="G39" s="54">
        <v>9.04</v>
      </c>
      <c r="H39" s="54">
        <v>23.74</v>
      </c>
      <c r="I39" s="54">
        <v>14.5</v>
      </c>
      <c r="J39" s="54">
        <v>27.207</v>
      </c>
      <c r="K39" s="54">
        <v>19.423</v>
      </c>
      <c r="L39" s="54">
        <v>80.156</v>
      </c>
      <c r="M39" s="54">
        <v>129.686</v>
      </c>
      <c r="N39" s="54">
        <v>150.981</v>
      </c>
      <c r="O39" s="54">
        <v>153.317</v>
      </c>
      <c r="P39" s="54">
        <v>127.548</v>
      </c>
      <c r="Q39" s="54">
        <v>140.514</v>
      </c>
      <c r="R39" s="54">
        <v>126.112</v>
      </c>
      <c r="S39" s="54">
        <v>157.674</v>
      </c>
      <c r="T39" s="54">
        <v>290.967</v>
      </c>
      <c r="U39" s="54">
        <v>33.166</v>
      </c>
      <c r="V39" s="54">
        <v>220.146</v>
      </c>
    </row>
    <row r="40">
      <c r="D40" s="53">
        <v>6.0</v>
      </c>
      <c r="E40" s="56">
        <v>63.901</v>
      </c>
      <c r="F40" s="56">
        <v>242.762</v>
      </c>
      <c r="G40" s="56">
        <v>6.706</v>
      </c>
      <c r="H40" s="56">
        <v>23.844</v>
      </c>
      <c r="I40" s="56">
        <v>14.111</v>
      </c>
      <c r="J40" s="56">
        <v>24.962</v>
      </c>
      <c r="K40" s="56">
        <v>21.945</v>
      </c>
      <c r="L40" s="56">
        <v>78.679</v>
      </c>
      <c r="M40" s="56">
        <v>126.362</v>
      </c>
      <c r="N40" s="56">
        <v>153.437</v>
      </c>
      <c r="O40" s="56">
        <v>161.707</v>
      </c>
      <c r="P40" s="56">
        <v>130.577</v>
      </c>
      <c r="Q40" s="56">
        <v>141.735</v>
      </c>
      <c r="R40" s="56">
        <v>127.009</v>
      </c>
      <c r="S40" s="56">
        <v>136.872</v>
      </c>
      <c r="T40" s="56">
        <v>280.405</v>
      </c>
      <c r="U40" s="56">
        <v>25.567</v>
      </c>
      <c r="V40" s="56">
        <v>209.298</v>
      </c>
    </row>
    <row r="41">
      <c r="D41" s="53">
        <v>7.0</v>
      </c>
      <c r="E41" s="54">
        <v>65.812</v>
      </c>
      <c r="F41" s="54">
        <v>239.241</v>
      </c>
      <c r="G41" s="54">
        <v>8.097</v>
      </c>
      <c r="H41" s="54">
        <v>25.019</v>
      </c>
      <c r="I41" s="54">
        <v>14.13</v>
      </c>
      <c r="J41" s="54">
        <v>27.778</v>
      </c>
      <c r="K41" s="54">
        <v>19.807</v>
      </c>
      <c r="L41" s="54">
        <v>64.099</v>
      </c>
      <c r="M41" s="54">
        <v>132.076</v>
      </c>
      <c r="N41" s="54">
        <v>153.614</v>
      </c>
      <c r="O41" s="54">
        <v>161.494</v>
      </c>
      <c r="P41" s="54">
        <v>128.312</v>
      </c>
      <c r="Q41" s="54">
        <v>139.597</v>
      </c>
      <c r="R41" s="54">
        <v>125.973</v>
      </c>
      <c r="S41" s="54">
        <v>143.318</v>
      </c>
      <c r="T41" s="54">
        <v>287.036</v>
      </c>
      <c r="U41" s="54">
        <v>31.489</v>
      </c>
      <c r="V41" s="54">
        <v>210.384</v>
      </c>
    </row>
    <row r="42">
      <c r="D42" s="53">
        <v>8.0</v>
      </c>
      <c r="E42" s="56">
        <v>61.92</v>
      </c>
      <c r="F42" s="56">
        <v>237.98</v>
      </c>
      <c r="G42" s="56">
        <v>6.561</v>
      </c>
      <c r="H42" s="56">
        <v>22.435</v>
      </c>
      <c r="I42" s="56">
        <v>14.774</v>
      </c>
      <c r="J42" s="56">
        <v>26.303</v>
      </c>
      <c r="K42" s="56">
        <v>20.155</v>
      </c>
      <c r="L42" s="56">
        <v>78.679</v>
      </c>
      <c r="M42" s="56">
        <v>147.896</v>
      </c>
      <c r="N42" s="56">
        <v>165.702</v>
      </c>
      <c r="O42" s="56">
        <v>136.584</v>
      </c>
      <c r="P42" s="56">
        <v>133.705</v>
      </c>
      <c r="Q42" s="56">
        <v>137.59</v>
      </c>
      <c r="R42" s="56">
        <v>129.534</v>
      </c>
      <c r="S42" s="56">
        <v>153.98</v>
      </c>
      <c r="T42" s="56">
        <v>290.1</v>
      </c>
      <c r="U42" s="56">
        <v>28.087</v>
      </c>
      <c r="V42" s="56">
        <v>203.023</v>
      </c>
    </row>
    <row r="43">
      <c r="D43" s="53">
        <v>9.0</v>
      </c>
      <c r="E43" s="54">
        <v>62.329</v>
      </c>
      <c r="F43" s="54">
        <v>235.732</v>
      </c>
      <c r="G43" s="54">
        <v>7.509</v>
      </c>
      <c r="H43" s="54">
        <v>22.411</v>
      </c>
      <c r="I43" s="54">
        <v>15.033</v>
      </c>
      <c r="J43" s="54">
        <v>28.204</v>
      </c>
      <c r="K43" s="54">
        <v>22.775</v>
      </c>
      <c r="L43" s="54">
        <v>58.974</v>
      </c>
      <c r="M43" s="54">
        <v>125.226</v>
      </c>
      <c r="N43" s="54">
        <v>157.38</v>
      </c>
      <c r="O43" s="54">
        <v>131.252</v>
      </c>
      <c r="P43" s="54">
        <v>125.549</v>
      </c>
      <c r="Q43" s="54">
        <v>127.229</v>
      </c>
      <c r="R43" s="54">
        <v>126.198</v>
      </c>
      <c r="S43" s="54">
        <v>137.994</v>
      </c>
      <c r="T43" s="54">
        <v>313.581</v>
      </c>
      <c r="U43" s="54">
        <v>32.318</v>
      </c>
      <c r="V43" s="54">
        <v>217.942</v>
      </c>
    </row>
    <row r="44">
      <c r="D44" s="53">
        <v>10.0</v>
      </c>
      <c r="E44" s="56">
        <v>60.342</v>
      </c>
      <c r="F44" s="56">
        <v>237.439</v>
      </c>
      <c r="G44" s="56">
        <v>7.026</v>
      </c>
      <c r="H44" s="56">
        <v>21.922</v>
      </c>
      <c r="I44" s="56">
        <v>14.519</v>
      </c>
      <c r="J44" s="56">
        <v>29.832</v>
      </c>
      <c r="K44" s="56">
        <v>19.245</v>
      </c>
      <c r="L44" s="56">
        <v>58.086</v>
      </c>
      <c r="M44" s="56">
        <v>129.052</v>
      </c>
      <c r="N44" s="56">
        <v>158.827</v>
      </c>
      <c r="O44" s="56">
        <v>165.273</v>
      </c>
      <c r="P44" s="56">
        <v>127.629</v>
      </c>
      <c r="Q44" s="56">
        <v>154.741</v>
      </c>
      <c r="R44" s="56">
        <v>126.534</v>
      </c>
      <c r="S44" s="56">
        <v>150.324</v>
      </c>
      <c r="T44" s="56">
        <v>285.603</v>
      </c>
      <c r="U44" s="56">
        <v>28.957</v>
      </c>
      <c r="V44" s="56">
        <v>206.53</v>
      </c>
    </row>
    <row r="45">
      <c r="D45" s="53">
        <v>11.0</v>
      </c>
      <c r="E45" s="54">
        <v>62.453</v>
      </c>
      <c r="F45" s="54">
        <v>231.546</v>
      </c>
      <c r="G45" s="54">
        <v>6.347</v>
      </c>
      <c r="H45" s="54">
        <v>20.171</v>
      </c>
      <c r="I45" s="54">
        <v>14.393</v>
      </c>
      <c r="J45" s="54">
        <v>28.79</v>
      </c>
      <c r="K45" s="54">
        <v>22.608</v>
      </c>
      <c r="L45" s="54">
        <v>77.591</v>
      </c>
      <c r="M45" s="54">
        <v>125.792</v>
      </c>
      <c r="N45" s="54">
        <v>158.552</v>
      </c>
      <c r="O45" s="54">
        <v>140.449</v>
      </c>
      <c r="P45" s="54">
        <v>138.679</v>
      </c>
      <c r="Q45" s="54">
        <v>129.53</v>
      </c>
      <c r="R45" s="54">
        <v>127.094</v>
      </c>
      <c r="S45" s="54">
        <v>138.124</v>
      </c>
      <c r="T45" s="54">
        <v>277.889</v>
      </c>
      <c r="U45" s="54">
        <v>28.653</v>
      </c>
      <c r="V45" s="54">
        <v>217.658</v>
      </c>
    </row>
    <row r="46">
      <c r="D46" s="53">
        <v>12.0</v>
      </c>
      <c r="E46" s="56">
        <v>64.244</v>
      </c>
      <c r="F46" s="56">
        <v>236.725</v>
      </c>
      <c r="G46" s="56">
        <v>7.982</v>
      </c>
      <c r="H46" s="56">
        <v>20.977</v>
      </c>
      <c r="I46" s="56">
        <v>16.038</v>
      </c>
      <c r="J46" s="56">
        <v>33.893</v>
      </c>
      <c r="K46" s="56">
        <v>20.091</v>
      </c>
      <c r="L46" s="56">
        <v>91.424</v>
      </c>
      <c r="M46" s="56">
        <v>132.126</v>
      </c>
      <c r="N46" s="56">
        <v>163.821</v>
      </c>
      <c r="O46" s="56">
        <v>152.349</v>
      </c>
      <c r="P46" s="56">
        <v>134.289</v>
      </c>
      <c r="Q46" s="56">
        <v>135.235</v>
      </c>
      <c r="R46" s="56">
        <v>127.298</v>
      </c>
      <c r="S46" s="56">
        <v>137.61</v>
      </c>
      <c r="T46" s="56">
        <v>292.365</v>
      </c>
      <c r="U46" s="56">
        <v>28.199</v>
      </c>
      <c r="V46" s="56">
        <v>203.603</v>
      </c>
    </row>
    <row r="47">
      <c r="D47" s="53">
        <v>13.0</v>
      </c>
      <c r="E47" s="54">
        <v>63.451</v>
      </c>
      <c r="F47" s="54">
        <v>231.746</v>
      </c>
      <c r="G47" s="54">
        <v>7.138</v>
      </c>
      <c r="H47" s="54">
        <v>21.042</v>
      </c>
      <c r="I47" s="54">
        <v>14.495</v>
      </c>
      <c r="J47" s="54">
        <v>26.798</v>
      </c>
      <c r="K47" s="54">
        <v>21.653</v>
      </c>
      <c r="L47" s="54">
        <v>79.829</v>
      </c>
      <c r="M47" s="54">
        <v>125.935</v>
      </c>
      <c r="N47" s="54">
        <v>160.153</v>
      </c>
      <c r="O47" s="54">
        <v>131.018</v>
      </c>
      <c r="P47" s="54">
        <v>131.681</v>
      </c>
      <c r="Q47" s="54">
        <v>130.05</v>
      </c>
      <c r="R47" s="54">
        <v>126.561</v>
      </c>
      <c r="S47" s="54">
        <v>139.693</v>
      </c>
      <c r="T47" s="54">
        <v>291.999</v>
      </c>
      <c r="U47" s="55">
        <v>33.772</v>
      </c>
      <c r="V47" s="55">
        <v>211.984</v>
      </c>
    </row>
    <row r="48">
      <c r="D48" s="53">
        <v>14.0</v>
      </c>
      <c r="E48" s="56">
        <v>63.125</v>
      </c>
      <c r="F48" s="56">
        <v>236.872</v>
      </c>
      <c r="G48" s="56">
        <v>8.23</v>
      </c>
      <c r="H48" s="56">
        <v>22.451</v>
      </c>
      <c r="I48" s="56">
        <v>15.798</v>
      </c>
      <c r="J48" s="56">
        <v>32.554</v>
      </c>
      <c r="K48" s="56">
        <v>20.614</v>
      </c>
      <c r="L48" s="56">
        <v>94.993</v>
      </c>
      <c r="M48" s="56">
        <v>143.27</v>
      </c>
      <c r="N48" s="56">
        <v>168.723</v>
      </c>
      <c r="O48" s="56">
        <v>149.174</v>
      </c>
      <c r="P48" s="56">
        <v>126.485</v>
      </c>
      <c r="Q48" s="56">
        <v>126.05</v>
      </c>
      <c r="R48" s="56">
        <v>129.793</v>
      </c>
      <c r="S48" s="56">
        <v>136.943</v>
      </c>
      <c r="T48" s="56">
        <v>288.873</v>
      </c>
      <c r="U48" s="56">
        <v>28.723</v>
      </c>
      <c r="V48" s="56">
        <v>210.8</v>
      </c>
    </row>
    <row r="49">
      <c r="D49" s="53">
        <v>15.0</v>
      </c>
      <c r="E49" s="54">
        <v>62.832</v>
      </c>
      <c r="F49" s="54">
        <v>235.231</v>
      </c>
      <c r="G49" s="54">
        <v>8.218</v>
      </c>
      <c r="H49" s="54">
        <v>20.313</v>
      </c>
      <c r="I49" s="54">
        <v>13.779</v>
      </c>
      <c r="J49" s="54">
        <v>26.366</v>
      </c>
      <c r="K49" s="54">
        <v>19.79</v>
      </c>
      <c r="L49" s="54">
        <v>72.547</v>
      </c>
      <c r="M49" s="54">
        <v>151.653</v>
      </c>
      <c r="N49" s="54">
        <v>159.511</v>
      </c>
      <c r="O49" s="54">
        <v>141.099</v>
      </c>
      <c r="P49" s="54">
        <v>134.471</v>
      </c>
      <c r="Q49" s="54">
        <v>135.359</v>
      </c>
      <c r="R49" s="54">
        <v>126.137</v>
      </c>
      <c r="S49" s="54">
        <v>135.814</v>
      </c>
      <c r="T49" s="54">
        <v>292.444</v>
      </c>
      <c r="U49" s="54">
        <v>29.564</v>
      </c>
      <c r="V49" s="54">
        <v>193.169</v>
      </c>
    </row>
    <row r="50">
      <c r="D50" s="53">
        <v>16.0</v>
      </c>
      <c r="E50" s="56">
        <v>66.453</v>
      </c>
      <c r="F50" s="56">
        <v>230.653</v>
      </c>
      <c r="G50" s="56">
        <v>8.497</v>
      </c>
      <c r="H50" s="56">
        <v>24.397</v>
      </c>
      <c r="I50" s="56">
        <v>15.115</v>
      </c>
      <c r="J50" s="56">
        <v>35.004</v>
      </c>
      <c r="K50" s="56">
        <v>20.078</v>
      </c>
      <c r="L50" s="56">
        <v>68.612</v>
      </c>
      <c r="M50" s="56">
        <v>146.337</v>
      </c>
      <c r="N50" s="56">
        <v>195.179</v>
      </c>
      <c r="O50" s="56">
        <v>136.832</v>
      </c>
      <c r="P50" s="56">
        <v>136.874</v>
      </c>
      <c r="Q50" s="56">
        <v>140.299</v>
      </c>
      <c r="R50" s="56">
        <v>126.616</v>
      </c>
      <c r="S50" s="56">
        <v>150.717</v>
      </c>
      <c r="T50" s="56">
        <v>302.164</v>
      </c>
      <c r="U50" s="57">
        <v>30.669</v>
      </c>
      <c r="V50" s="57">
        <v>208.832</v>
      </c>
    </row>
    <row r="51">
      <c r="D51" s="58" t="s">
        <v>54</v>
      </c>
      <c r="E51" s="59" t="str">
        <f t="shared" ref="E51:V51" si="10">AVERAGE(E35:E50)</f>
        <v>62.7</v>
      </c>
      <c r="F51" s="59" t="str">
        <f t="shared" si="10"/>
        <v>236.1</v>
      </c>
      <c r="G51" s="59" t="str">
        <f t="shared" si="10"/>
        <v>7.9</v>
      </c>
      <c r="H51" s="59" t="str">
        <f t="shared" si="10"/>
        <v>22.4</v>
      </c>
      <c r="I51" s="59" t="str">
        <f t="shared" si="10"/>
        <v>14.8</v>
      </c>
      <c r="J51" s="59" t="str">
        <f t="shared" si="10"/>
        <v>29.2</v>
      </c>
      <c r="K51" s="59" t="str">
        <f t="shared" si="10"/>
        <v>20.3</v>
      </c>
      <c r="L51" s="59" t="str">
        <f t="shared" si="10"/>
        <v>75.7</v>
      </c>
      <c r="M51" s="59" t="str">
        <f t="shared" si="10"/>
        <v>132.5</v>
      </c>
      <c r="N51" s="59" t="str">
        <f t="shared" si="10"/>
        <v>162.8</v>
      </c>
      <c r="O51" s="59" t="str">
        <f t="shared" si="10"/>
        <v>146.4</v>
      </c>
      <c r="P51" s="59" t="str">
        <f t="shared" si="10"/>
        <v>130.9</v>
      </c>
      <c r="Q51" s="59" t="str">
        <f t="shared" si="10"/>
        <v>135.8</v>
      </c>
      <c r="R51" s="59" t="str">
        <f t="shared" si="10"/>
        <v>126.9</v>
      </c>
      <c r="S51" s="59" t="str">
        <f t="shared" si="10"/>
        <v>141.4</v>
      </c>
      <c r="T51" s="59" t="str">
        <f t="shared" si="10"/>
        <v>296.1</v>
      </c>
      <c r="U51" s="59" t="str">
        <f t="shared" si="10"/>
        <v>29.7</v>
      </c>
      <c r="V51" s="59" t="str">
        <f t="shared" si="10"/>
        <v>210.6</v>
      </c>
    </row>
    <row r="52">
      <c r="D52" s="58" t="s">
        <v>48</v>
      </c>
      <c r="E52" s="59" t="str">
        <f t="shared" ref="E52:F52" si="11">(160000*1024)/(1024*1024)/E51</f>
        <v>2.5</v>
      </c>
      <c r="F52" s="59" t="str">
        <f t="shared" si="11"/>
        <v>0.7</v>
      </c>
      <c r="G52" s="59" t="str">
        <f t="shared" ref="G52:H52" si="12">(16000*10240)/(1024*1024)/G51</f>
        <v>19.8</v>
      </c>
      <c r="H52" s="59" t="str">
        <f t="shared" si="12"/>
        <v>7.0</v>
      </c>
      <c r="I52" s="59" t="str">
        <f t="shared" ref="I52:J52" si="13">(16000*102400)/(1024*1024)/I51</f>
        <v>105.8</v>
      </c>
      <c r="J52" s="59" t="str">
        <f t="shared" si="13"/>
        <v>53.4</v>
      </c>
      <c r="K52" s="59" t="str">
        <f t="shared" ref="K52:L52" si="14">(16000*1024000)/(1024*1024)/K51</f>
        <v>769.4</v>
      </c>
      <c r="L52" s="59" t="str">
        <f t="shared" si="14"/>
        <v>206.4</v>
      </c>
      <c r="M52" s="59" t="str">
        <f t="shared" ref="M52:N52" si="15">(16000*10240000)/(1024*1024)/M51</f>
        <v>1178.9</v>
      </c>
      <c r="N52" s="59" t="str">
        <f t="shared" si="15"/>
        <v>959.6</v>
      </c>
      <c r="O52" s="59" t="str">
        <f t="shared" ref="O52:P52" si="16">(1600*102400000)/(1024*1024)/O51</f>
        <v>1067.2</v>
      </c>
      <c r="P52" s="59" t="str">
        <f t="shared" si="16"/>
        <v>1193.5</v>
      </c>
      <c r="Q52" s="59" t="str">
        <f t="shared" ref="Q52:R52" si="17">(160*1024000000)/(1024*1024)/Q51</f>
        <v>1150.3</v>
      </c>
      <c r="R52" s="59" t="str">
        <f t="shared" si="17"/>
        <v>1231.7</v>
      </c>
      <c r="S52" s="59" t="str">
        <f t="shared" ref="S52:T52" si="18">(16*10240000000)/(1024*1024)/S51</f>
        <v>1104.7</v>
      </c>
      <c r="T52" s="59" t="str">
        <f t="shared" si="18"/>
        <v>527.6</v>
      </c>
      <c r="U52" s="59" t="str">
        <f t="shared" ref="U52:V52" si="19">16*10000/U51</f>
        <v>5383.3</v>
      </c>
      <c r="V52" s="59" t="str">
        <f t="shared" si="19"/>
        <v>759.7</v>
      </c>
    </row>
    <row r="54">
      <c r="D54" s="60" t="s">
        <v>55</v>
      </c>
      <c r="E54" s="61" t="s">
        <v>56</v>
      </c>
      <c r="G54" s="61" t="s">
        <v>57</v>
      </c>
      <c r="I54" s="61" t="s">
        <v>58</v>
      </c>
      <c r="K54" s="61" t="s">
        <v>59</v>
      </c>
      <c r="M54" s="61" t="s">
        <v>60</v>
      </c>
      <c r="O54" s="61" t="s">
        <v>61</v>
      </c>
      <c r="Q54" s="61" t="s">
        <v>62</v>
      </c>
      <c r="S54" s="61" t="s">
        <v>63</v>
      </c>
      <c r="U54" s="61" t="s">
        <v>64</v>
      </c>
    </row>
    <row r="55">
      <c r="D55" s="62" t="s">
        <v>52</v>
      </c>
      <c r="E55" s="63">
        <v>10000.0</v>
      </c>
      <c r="G55" s="63">
        <v>1000.0</v>
      </c>
      <c r="I55" s="63">
        <v>1000.0</v>
      </c>
      <c r="K55" s="63">
        <v>1000.0</v>
      </c>
      <c r="M55" s="63">
        <v>1000.0</v>
      </c>
      <c r="O55" s="63">
        <v>100.0</v>
      </c>
      <c r="Q55" s="63">
        <v>10.0</v>
      </c>
      <c r="S55" s="63">
        <v>1.0</v>
      </c>
      <c r="U55" s="63">
        <v>10000.0</v>
      </c>
    </row>
    <row r="56">
      <c r="D56" s="64" t="s">
        <v>53</v>
      </c>
      <c r="E56" s="65" t="s">
        <v>16</v>
      </c>
      <c r="F56" s="65" t="s">
        <v>0</v>
      </c>
      <c r="G56" s="65" t="s">
        <v>16</v>
      </c>
      <c r="H56" s="65" t="s">
        <v>0</v>
      </c>
      <c r="I56" s="65" t="s">
        <v>16</v>
      </c>
      <c r="J56" s="65" t="s">
        <v>0</v>
      </c>
      <c r="K56" s="65" t="s">
        <v>16</v>
      </c>
      <c r="L56" s="65" t="s">
        <v>0</v>
      </c>
      <c r="M56" s="65" t="s">
        <v>16</v>
      </c>
      <c r="N56" s="65" t="s">
        <v>0</v>
      </c>
      <c r="O56" s="65" t="s">
        <v>16</v>
      </c>
      <c r="P56" s="65" t="s">
        <v>0</v>
      </c>
      <c r="Q56" s="65" t="s">
        <v>16</v>
      </c>
      <c r="R56" s="65" t="s">
        <v>0</v>
      </c>
      <c r="S56" s="65" t="s">
        <v>16</v>
      </c>
      <c r="T56" s="65" t="s">
        <v>0</v>
      </c>
      <c r="U56" s="65" t="s">
        <v>16</v>
      </c>
      <c r="V56" s="65" t="s">
        <v>0</v>
      </c>
    </row>
    <row r="57">
      <c r="D57" s="66">
        <v>1.0</v>
      </c>
      <c r="E57" s="67">
        <v>71.249</v>
      </c>
      <c r="F57" s="67">
        <v>249.447</v>
      </c>
      <c r="G57" s="67">
        <v>5.435</v>
      </c>
      <c r="H57" s="67">
        <v>22.948</v>
      </c>
      <c r="I57" s="67">
        <v>14.749</v>
      </c>
      <c r="J57" s="67">
        <v>22.493</v>
      </c>
      <c r="K57" s="67">
        <v>19.483</v>
      </c>
      <c r="L57" s="67">
        <v>32.584</v>
      </c>
      <c r="M57" s="67">
        <v>141.467</v>
      </c>
      <c r="N57" s="67">
        <v>187.463</v>
      </c>
      <c r="O57" s="67">
        <v>132.849</v>
      </c>
      <c r="P57" s="67">
        <v>128.944</v>
      </c>
      <c r="Q57" s="67">
        <v>132.485</v>
      </c>
      <c r="R57" s="67">
        <v>126.492</v>
      </c>
      <c r="S57" s="67">
        <v>132.541</v>
      </c>
      <c r="T57" s="67">
        <v>458.935</v>
      </c>
      <c r="U57" s="67">
        <v>48.321</v>
      </c>
      <c r="V57" s="67">
        <v>222.85</v>
      </c>
    </row>
    <row r="58">
      <c r="D58" s="66">
        <v>2.0</v>
      </c>
      <c r="E58" s="67">
        <v>63.287</v>
      </c>
      <c r="F58" s="67">
        <v>257.897</v>
      </c>
      <c r="G58" s="67">
        <v>5.876</v>
      </c>
      <c r="H58" s="67">
        <v>28.483</v>
      </c>
      <c r="I58" s="67">
        <v>15.382</v>
      </c>
      <c r="J58" s="67">
        <v>21.493</v>
      </c>
      <c r="K58" s="67">
        <v>18.389</v>
      </c>
      <c r="L58" s="67">
        <v>32.478</v>
      </c>
      <c r="M58" s="67">
        <v>145.87</v>
      </c>
      <c r="N58" s="67">
        <v>277.498</v>
      </c>
      <c r="O58" s="67">
        <v>138.708</v>
      </c>
      <c r="P58" s="67">
        <v>301.32</v>
      </c>
      <c r="Q58" s="67">
        <v>130.32</v>
      </c>
      <c r="R58" s="67">
        <v>126.775</v>
      </c>
      <c r="S58" s="67">
        <v>155.679</v>
      </c>
      <c r="T58" s="67">
        <v>292.278</v>
      </c>
      <c r="U58" s="67">
        <v>46.451</v>
      </c>
      <c r="V58" s="67">
        <v>220.419</v>
      </c>
    </row>
    <row r="59">
      <c r="D59" s="66">
        <v>3.0</v>
      </c>
      <c r="E59" s="67">
        <v>70.075</v>
      </c>
      <c r="F59" s="67">
        <v>255.774</v>
      </c>
      <c r="G59" s="67">
        <v>6.431</v>
      </c>
      <c r="H59" s="67">
        <v>27.483</v>
      </c>
      <c r="I59" s="67">
        <v>15.438</v>
      </c>
      <c r="J59" s="67">
        <v>24.353</v>
      </c>
      <c r="K59" s="67">
        <v>19.483</v>
      </c>
      <c r="L59" s="67">
        <v>31.268</v>
      </c>
      <c r="M59" s="67">
        <v>143.282</v>
      </c>
      <c r="N59" s="67">
        <v>165.382</v>
      </c>
      <c r="O59" s="67">
        <v>136.553</v>
      </c>
      <c r="P59" s="67">
        <v>170.782</v>
      </c>
      <c r="Q59" s="67">
        <v>136.734</v>
      </c>
      <c r="R59" s="67">
        <v>126.639</v>
      </c>
      <c r="S59" s="67">
        <v>136.252</v>
      </c>
      <c r="T59" s="67">
        <v>275.849</v>
      </c>
      <c r="U59" s="67">
        <v>52.404</v>
      </c>
      <c r="V59" s="67">
        <v>224.91</v>
      </c>
    </row>
    <row r="60">
      <c r="D60" s="66">
        <v>4.0</v>
      </c>
      <c r="E60" s="67">
        <v>62.16</v>
      </c>
      <c r="F60" s="67">
        <v>258.553</v>
      </c>
      <c r="G60" s="67">
        <v>7.432</v>
      </c>
      <c r="H60" s="67">
        <v>27.384</v>
      </c>
      <c r="I60" s="67">
        <v>16.392</v>
      </c>
      <c r="J60" s="67">
        <v>26.584</v>
      </c>
      <c r="K60" s="67">
        <v>21.479</v>
      </c>
      <c r="L60" s="67">
        <v>32.3682</v>
      </c>
      <c r="M60" s="67">
        <v>146.372</v>
      </c>
      <c r="N60" s="67">
        <v>198.273</v>
      </c>
      <c r="O60" s="67">
        <v>153.284</v>
      </c>
      <c r="P60" s="67">
        <v>143.872</v>
      </c>
      <c r="Q60" s="67">
        <v>136.392</v>
      </c>
      <c r="R60" s="67">
        <v>127.593</v>
      </c>
      <c r="S60" s="67">
        <v>145.308</v>
      </c>
      <c r="T60" s="67">
        <v>294.432</v>
      </c>
      <c r="U60" s="67">
        <v>53.859</v>
      </c>
      <c r="V60" s="67">
        <v>216.851</v>
      </c>
    </row>
    <row r="61">
      <c r="D61" s="66">
        <v>5.0</v>
      </c>
      <c r="E61" s="67">
        <v>61.255</v>
      </c>
      <c r="F61" s="67">
        <v>247.375</v>
      </c>
      <c r="G61" s="67">
        <v>3.603</v>
      </c>
      <c r="H61" s="67">
        <v>29.492</v>
      </c>
      <c r="I61" s="67">
        <v>17.473</v>
      </c>
      <c r="J61" s="67">
        <v>27.453</v>
      </c>
      <c r="K61" s="67">
        <v>22.372</v>
      </c>
      <c r="L61" s="67">
        <v>33.4568</v>
      </c>
      <c r="M61" s="67">
        <v>156.372</v>
      </c>
      <c r="N61" s="67">
        <v>146.282</v>
      </c>
      <c r="O61" s="67">
        <v>161.477</v>
      </c>
      <c r="P61" s="67">
        <v>263.603</v>
      </c>
      <c r="Q61" s="67">
        <v>137.83</v>
      </c>
      <c r="R61" s="67">
        <v>126.899</v>
      </c>
      <c r="S61" s="67">
        <v>159.687</v>
      </c>
      <c r="T61" s="67">
        <v>270.174</v>
      </c>
      <c r="U61" s="67">
        <v>47.437</v>
      </c>
      <c r="V61" s="67">
        <v>229.207</v>
      </c>
    </row>
    <row r="62">
      <c r="D62" s="66">
        <v>6.0</v>
      </c>
      <c r="E62" s="67">
        <v>64.325</v>
      </c>
      <c r="F62" s="67">
        <v>246.324</v>
      </c>
      <c r="G62" s="67">
        <v>4.329</v>
      </c>
      <c r="H62" s="67">
        <v>29.549</v>
      </c>
      <c r="I62" s="67">
        <v>16.372</v>
      </c>
      <c r="J62" s="67">
        <v>26.483</v>
      </c>
      <c r="K62" s="67">
        <v>23.479</v>
      </c>
      <c r="L62" s="67">
        <v>33.578</v>
      </c>
      <c r="M62" s="67">
        <v>162.382</v>
      </c>
      <c r="N62" s="67">
        <v>198.462</v>
      </c>
      <c r="O62" s="67">
        <v>143.245</v>
      </c>
      <c r="P62" s="67">
        <v>131.978</v>
      </c>
      <c r="Q62" s="67">
        <v>148.367</v>
      </c>
      <c r="R62" s="67">
        <v>126.422</v>
      </c>
      <c r="S62" s="67">
        <v>137.903</v>
      </c>
      <c r="T62" s="67">
        <v>283.623</v>
      </c>
      <c r="U62" s="67">
        <v>89.206</v>
      </c>
      <c r="V62" s="67">
        <v>275.677</v>
      </c>
    </row>
    <row r="63">
      <c r="D63" s="66">
        <v>7.0</v>
      </c>
      <c r="E63" s="67">
        <v>58.513</v>
      </c>
      <c r="F63" s="67">
        <v>253.21</v>
      </c>
      <c r="G63" s="67">
        <v>5.483</v>
      </c>
      <c r="H63" s="67">
        <v>27.473</v>
      </c>
      <c r="I63" s="67">
        <v>17.374</v>
      </c>
      <c r="J63" s="67">
        <v>24.384</v>
      </c>
      <c r="K63" s="67">
        <v>22.483</v>
      </c>
      <c r="L63" s="67">
        <v>32.478</v>
      </c>
      <c r="M63" s="67">
        <v>182.952</v>
      </c>
      <c r="N63" s="67">
        <v>156.136</v>
      </c>
      <c r="O63" s="67">
        <v>143.248</v>
      </c>
      <c r="P63" s="67">
        <v>131.501</v>
      </c>
      <c r="Q63" s="67">
        <v>158.689</v>
      </c>
      <c r="R63" s="67">
        <v>127.084</v>
      </c>
      <c r="S63" s="67">
        <v>158.029</v>
      </c>
      <c r="T63" s="67">
        <v>322.054</v>
      </c>
      <c r="U63" s="67">
        <v>53.851</v>
      </c>
      <c r="V63" s="67">
        <v>264.824</v>
      </c>
    </row>
    <row r="64">
      <c r="D64" s="66">
        <v>8.0</v>
      </c>
      <c r="E64" s="67">
        <v>74.028</v>
      </c>
      <c r="F64" s="67">
        <v>257.606</v>
      </c>
      <c r="G64" s="67">
        <v>6.926</v>
      </c>
      <c r="H64" s="67">
        <v>21.198</v>
      </c>
      <c r="I64" s="67">
        <v>15.728</v>
      </c>
      <c r="J64" s="67">
        <v>23.877</v>
      </c>
      <c r="K64" s="67">
        <v>19.091</v>
      </c>
      <c r="L64" s="67">
        <v>34.648</v>
      </c>
      <c r="M64" s="67">
        <v>124.485</v>
      </c>
      <c r="N64" s="67">
        <v>143.373</v>
      </c>
      <c r="O64" s="67">
        <v>131.772</v>
      </c>
      <c r="P64" s="67">
        <v>129.205</v>
      </c>
      <c r="Q64" s="67">
        <v>123.08</v>
      </c>
      <c r="R64" s="67">
        <v>126.578</v>
      </c>
      <c r="S64" s="67">
        <v>130.197</v>
      </c>
      <c r="T64" s="67">
        <v>312.324</v>
      </c>
      <c r="U64" s="67">
        <v>91.138</v>
      </c>
      <c r="V64" s="67">
        <v>288.558</v>
      </c>
    </row>
    <row r="65">
      <c r="D65" s="66">
        <v>9.0</v>
      </c>
      <c r="E65" s="67">
        <v>62.008</v>
      </c>
      <c r="F65" s="67">
        <v>243.842</v>
      </c>
      <c r="G65" s="67">
        <v>5.392</v>
      </c>
      <c r="H65" s="67">
        <v>25.339</v>
      </c>
      <c r="I65" s="67">
        <v>17.473</v>
      </c>
      <c r="J65" s="67">
        <v>25.584</v>
      </c>
      <c r="K65" s="67">
        <v>19.463</v>
      </c>
      <c r="L65" s="67">
        <v>32.783</v>
      </c>
      <c r="M65" s="67">
        <v>132.372</v>
      </c>
      <c r="N65" s="67">
        <v>320.382</v>
      </c>
      <c r="O65" s="67">
        <v>135.372</v>
      </c>
      <c r="P65" s="67">
        <v>187.422</v>
      </c>
      <c r="Q65" s="67">
        <v>132.958</v>
      </c>
      <c r="R65" s="67">
        <v>126.935</v>
      </c>
      <c r="S65" s="67">
        <v>132.593</v>
      </c>
      <c r="T65" s="67">
        <v>342.498</v>
      </c>
      <c r="U65" s="67">
        <v>42.115</v>
      </c>
      <c r="V65" s="67">
        <v>239.706</v>
      </c>
    </row>
    <row r="66">
      <c r="D66" s="66">
        <v>10.0</v>
      </c>
      <c r="E66" s="67">
        <v>67.931</v>
      </c>
      <c r="F66" s="67">
        <v>237.43</v>
      </c>
      <c r="G66" s="67">
        <v>7.893</v>
      </c>
      <c r="H66" s="67">
        <v>26.395</v>
      </c>
      <c r="I66" s="67">
        <v>16.473</v>
      </c>
      <c r="J66" s="67">
        <v>26.432</v>
      </c>
      <c r="K66" s="67">
        <v>18.362</v>
      </c>
      <c r="L66" s="67">
        <v>33.829</v>
      </c>
      <c r="M66" s="67">
        <v>129.148</v>
      </c>
      <c r="N66" s="67">
        <v>339.628</v>
      </c>
      <c r="O66" s="67">
        <v>138.736</v>
      </c>
      <c r="P66" s="67">
        <v>175.345</v>
      </c>
      <c r="Q66" s="67">
        <v>136.979</v>
      </c>
      <c r="R66" s="67">
        <v>127.659</v>
      </c>
      <c r="S66" s="67">
        <v>136.408</v>
      </c>
      <c r="T66" s="67">
        <v>267.776</v>
      </c>
      <c r="U66" s="67">
        <v>45.983</v>
      </c>
      <c r="V66" s="67">
        <v>227.446</v>
      </c>
    </row>
    <row r="67">
      <c r="D67" s="66">
        <v>11.0</v>
      </c>
      <c r="E67" s="67">
        <v>66.799</v>
      </c>
      <c r="F67" s="67">
        <v>248.792</v>
      </c>
      <c r="G67" s="67">
        <v>8.439</v>
      </c>
      <c r="H67" s="67">
        <v>27.479</v>
      </c>
      <c r="I67" s="67">
        <v>17.493</v>
      </c>
      <c r="J67" s="67">
        <v>27.584</v>
      </c>
      <c r="K67" s="67">
        <v>19.462</v>
      </c>
      <c r="L67" s="67">
        <v>33.768</v>
      </c>
      <c r="M67" s="67">
        <v>132.483</v>
      </c>
      <c r="N67" s="67">
        <v>333.287</v>
      </c>
      <c r="O67" s="67">
        <v>145.718</v>
      </c>
      <c r="P67" s="67">
        <v>255.21</v>
      </c>
      <c r="Q67" s="67">
        <v>152.234</v>
      </c>
      <c r="R67" s="67">
        <v>128.279</v>
      </c>
      <c r="S67" s="67">
        <v>134.881</v>
      </c>
      <c r="T67" s="67">
        <v>277.857</v>
      </c>
      <c r="U67" s="67">
        <v>43.13</v>
      </c>
      <c r="V67" s="67">
        <v>222.814</v>
      </c>
    </row>
    <row r="68">
      <c r="D68" s="66">
        <v>12.0</v>
      </c>
      <c r="E68" s="67">
        <v>70.426</v>
      </c>
      <c r="F68" s="67">
        <v>251.674</v>
      </c>
      <c r="G68" s="67">
        <v>8.392</v>
      </c>
      <c r="H68" s="67">
        <v>28.394</v>
      </c>
      <c r="I68" s="67">
        <v>15.372</v>
      </c>
      <c r="J68" s="67">
        <v>28.576</v>
      </c>
      <c r="K68" s="67">
        <v>19.472</v>
      </c>
      <c r="L68" s="67">
        <v>32.4783</v>
      </c>
      <c r="M68" s="67">
        <v>156.432</v>
      </c>
      <c r="N68" s="67">
        <v>195.372</v>
      </c>
      <c r="O68" s="67">
        <v>153.393</v>
      </c>
      <c r="P68" s="67">
        <v>126.425</v>
      </c>
      <c r="Q68" s="67">
        <v>132.305</v>
      </c>
      <c r="R68" s="67">
        <v>125.896</v>
      </c>
      <c r="S68" s="67">
        <v>133.836</v>
      </c>
      <c r="T68" s="67">
        <v>265.637</v>
      </c>
      <c r="U68" s="67">
        <v>50.076</v>
      </c>
      <c r="V68" s="67">
        <v>249.254</v>
      </c>
    </row>
    <row r="69">
      <c r="D69" s="66">
        <v>13.0</v>
      </c>
      <c r="E69" s="67">
        <v>66.977</v>
      </c>
      <c r="F69" s="67">
        <v>250.019</v>
      </c>
      <c r="G69" s="67">
        <v>8.278</v>
      </c>
      <c r="H69" s="67">
        <v>25.173</v>
      </c>
      <c r="I69" s="67">
        <v>15.299</v>
      </c>
      <c r="J69" s="67">
        <v>21.348</v>
      </c>
      <c r="K69" s="67">
        <v>20.84</v>
      </c>
      <c r="L69" s="67">
        <v>36.988</v>
      </c>
      <c r="M69" s="67">
        <v>156.492</v>
      </c>
      <c r="N69" s="67">
        <v>150.07</v>
      </c>
      <c r="O69" s="67">
        <v>144.195</v>
      </c>
      <c r="P69" s="67">
        <v>128.819</v>
      </c>
      <c r="Q69" s="67">
        <v>139.034</v>
      </c>
      <c r="R69" s="67">
        <v>126.423</v>
      </c>
      <c r="S69" s="67">
        <v>138.877</v>
      </c>
      <c r="T69" s="67">
        <v>318.801</v>
      </c>
      <c r="U69" s="67">
        <v>70.937</v>
      </c>
      <c r="V69" s="67">
        <v>251.689</v>
      </c>
    </row>
    <row r="70">
      <c r="D70" s="66">
        <v>14.0</v>
      </c>
      <c r="E70" s="67">
        <v>72.44</v>
      </c>
      <c r="F70" s="67">
        <v>251.059</v>
      </c>
      <c r="G70" s="67">
        <v>7.382</v>
      </c>
      <c r="H70" s="67">
        <v>29.453</v>
      </c>
      <c r="I70" s="67">
        <v>16.589</v>
      </c>
      <c r="J70" s="67">
        <v>25.43</v>
      </c>
      <c r="K70" s="67">
        <v>21.473</v>
      </c>
      <c r="L70" s="67">
        <v>32.567</v>
      </c>
      <c r="M70" s="67">
        <v>142.463</v>
      </c>
      <c r="N70" s="67">
        <v>176.484</v>
      </c>
      <c r="O70" s="67">
        <v>140.748</v>
      </c>
      <c r="P70" s="67">
        <v>132.208</v>
      </c>
      <c r="Q70" s="67">
        <v>136.827</v>
      </c>
      <c r="R70" s="67">
        <v>127.373</v>
      </c>
      <c r="S70" s="67">
        <v>135.399</v>
      </c>
      <c r="T70" s="67">
        <v>281.536</v>
      </c>
      <c r="U70" s="67">
        <v>37.254</v>
      </c>
      <c r="V70" s="67">
        <v>224.408</v>
      </c>
    </row>
    <row r="71">
      <c r="D71" s="66">
        <v>15.0</v>
      </c>
      <c r="E71" s="67">
        <v>61.457</v>
      </c>
      <c r="F71" s="67">
        <v>243.421</v>
      </c>
      <c r="G71" s="67">
        <v>6.432</v>
      </c>
      <c r="H71" s="67">
        <v>22.743</v>
      </c>
      <c r="I71" s="67">
        <v>16.473</v>
      </c>
      <c r="J71" s="67">
        <v>27.478</v>
      </c>
      <c r="K71" s="67">
        <v>22.463</v>
      </c>
      <c r="L71" s="67">
        <v>33.289</v>
      </c>
      <c r="M71" s="67">
        <v>141.574</v>
      </c>
      <c r="N71" s="67">
        <v>198.372</v>
      </c>
      <c r="O71" s="67">
        <v>137.28</v>
      </c>
      <c r="P71" s="67">
        <v>132.849</v>
      </c>
      <c r="Q71" s="67">
        <v>128.549</v>
      </c>
      <c r="R71" s="67">
        <v>255.252</v>
      </c>
      <c r="S71" s="67">
        <v>140.209</v>
      </c>
      <c r="T71" s="67">
        <v>283.886</v>
      </c>
      <c r="U71" s="67">
        <v>47.272</v>
      </c>
      <c r="V71" s="67">
        <v>216.622</v>
      </c>
    </row>
    <row r="72">
      <c r="D72" s="66">
        <v>16.0</v>
      </c>
      <c r="E72" s="67">
        <v>71.197</v>
      </c>
      <c r="F72" s="67">
        <v>266.429</v>
      </c>
      <c r="G72" s="67">
        <v>9.642</v>
      </c>
      <c r="H72" s="67">
        <v>28.532</v>
      </c>
      <c r="I72" s="67">
        <v>15.23</v>
      </c>
      <c r="J72" s="67">
        <v>21.086</v>
      </c>
      <c r="K72" s="67">
        <v>20.093</v>
      </c>
      <c r="L72" s="67">
        <v>41.801</v>
      </c>
      <c r="M72" s="67">
        <v>125.613</v>
      </c>
      <c r="N72" s="67">
        <v>159.034</v>
      </c>
      <c r="O72" s="67">
        <v>137.159</v>
      </c>
      <c r="P72" s="67">
        <v>134.959</v>
      </c>
      <c r="Q72" s="67">
        <v>136.969</v>
      </c>
      <c r="R72" s="67">
        <v>129.705</v>
      </c>
      <c r="S72" s="67">
        <v>137.316</v>
      </c>
      <c r="T72" s="67">
        <v>262.127</v>
      </c>
      <c r="U72" s="67">
        <v>55.358</v>
      </c>
      <c r="V72" s="67">
        <v>307.223</v>
      </c>
    </row>
    <row r="73">
      <c r="D73" s="66">
        <v>17.0</v>
      </c>
      <c r="E73" s="67">
        <v>68.548</v>
      </c>
      <c r="F73" s="67">
        <v>264.493</v>
      </c>
      <c r="G73" s="67">
        <v>7.435</v>
      </c>
      <c r="H73" s="67">
        <v>26.394</v>
      </c>
      <c r="I73" s="67">
        <v>16.483</v>
      </c>
      <c r="J73" s="67">
        <v>22.483</v>
      </c>
      <c r="K73" s="67">
        <v>21.372</v>
      </c>
      <c r="L73" s="67">
        <v>38.578</v>
      </c>
      <c r="M73" s="67">
        <v>126.442</v>
      </c>
      <c r="N73" s="67">
        <v>151.854</v>
      </c>
      <c r="O73" s="67">
        <v>139.28</v>
      </c>
      <c r="P73" s="67">
        <v>129.421</v>
      </c>
      <c r="Q73" s="67">
        <v>156.098</v>
      </c>
      <c r="R73" s="67">
        <v>126.625</v>
      </c>
      <c r="S73" s="67">
        <v>133.667</v>
      </c>
      <c r="T73" s="67">
        <v>292.415</v>
      </c>
      <c r="U73" s="67">
        <v>54.876</v>
      </c>
      <c r="V73" s="67">
        <v>227.879</v>
      </c>
    </row>
    <row r="74">
      <c r="D74" s="66">
        <v>18.0</v>
      </c>
      <c r="E74" s="67">
        <v>64.144</v>
      </c>
      <c r="F74" s="67">
        <v>248.388</v>
      </c>
      <c r="G74" s="67">
        <v>6.382</v>
      </c>
      <c r="H74" s="67">
        <v>29.483</v>
      </c>
      <c r="I74" s="67">
        <v>17.468</v>
      </c>
      <c r="J74" s="67">
        <v>23.573</v>
      </c>
      <c r="K74" s="67">
        <v>18.4729</v>
      </c>
      <c r="L74" s="67">
        <v>33.56</v>
      </c>
      <c r="M74" s="67">
        <v>125.372</v>
      </c>
      <c r="N74" s="67">
        <v>178.279</v>
      </c>
      <c r="O74" s="67">
        <v>136.511</v>
      </c>
      <c r="P74" s="67">
        <v>288.186</v>
      </c>
      <c r="Q74" s="67">
        <v>129.221</v>
      </c>
      <c r="R74" s="67">
        <v>130.236</v>
      </c>
      <c r="S74" s="67">
        <v>132.026</v>
      </c>
      <c r="T74" s="67">
        <v>427.627</v>
      </c>
      <c r="U74" s="67">
        <v>46.557</v>
      </c>
      <c r="V74" s="67">
        <v>233.751</v>
      </c>
    </row>
    <row r="75">
      <c r="D75" s="66">
        <v>19.0</v>
      </c>
      <c r="E75" s="67">
        <v>64.054</v>
      </c>
      <c r="F75" s="67">
        <v>241.308</v>
      </c>
      <c r="G75" s="67">
        <v>7.324</v>
      </c>
      <c r="H75" s="67">
        <v>29.543</v>
      </c>
      <c r="I75" s="67">
        <v>15.382</v>
      </c>
      <c r="J75" s="67">
        <v>24.483</v>
      </c>
      <c r="K75" s="67">
        <v>19.468</v>
      </c>
      <c r="L75" s="67">
        <v>32.894</v>
      </c>
      <c r="M75" s="67">
        <v>124.507</v>
      </c>
      <c r="N75" s="67">
        <v>153.498</v>
      </c>
      <c r="O75" s="67">
        <v>134.089</v>
      </c>
      <c r="P75" s="67">
        <v>161.092</v>
      </c>
      <c r="Q75" s="67">
        <v>130.599</v>
      </c>
      <c r="R75" s="67">
        <v>129.083</v>
      </c>
      <c r="S75" s="67">
        <v>156.176</v>
      </c>
      <c r="T75" s="67">
        <v>292.767</v>
      </c>
      <c r="U75" s="67">
        <v>74.365</v>
      </c>
      <c r="V75" s="67">
        <v>228.638</v>
      </c>
    </row>
    <row r="76">
      <c r="D76" s="66">
        <v>20.0</v>
      </c>
      <c r="E76" s="67">
        <v>63.64</v>
      </c>
      <c r="F76" s="67">
        <v>272.261</v>
      </c>
      <c r="G76" s="67">
        <v>4.872</v>
      </c>
      <c r="H76" s="67">
        <v>28.483</v>
      </c>
      <c r="I76" s="67">
        <v>16.489</v>
      </c>
      <c r="J76" s="67">
        <v>29.483</v>
      </c>
      <c r="K76" s="67">
        <v>20.228</v>
      </c>
      <c r="L76" s="67">
        <v>91.726</v>
      </c>
      <c r="M76" s="67">
        <v>129.95</v>
      </c>
      <c r="N76" s="67">
        <v>227.651</v>
      </c>
      <c r="O76" s="67">
        <v>138.748</v>
      </c>
      <c r="P76" s="67">
        <v>149.884</v>
      </c>
      <c r="Q76" s="67">
        <v>134.287</v>
      </c>
      <c r="R76" s="67">
        <v>132.839</v>
      </c>
      <c r="S76" s="67">
        <v>139.439</v>
      </c>
      <c r="T76" s="67">
        <v>266.724</v>
      </c>
      <c r="U76" s="67">
        <v>45.184</v>
      </c>
      <c r="V76" s="67">
        <v>228.555</v>
      </c>
    </row>
    <row r="77">
      <c r="D77" s="66">
        <v>21.0</v>
      </c>
      <c r="E77" s="67">
        <v>65.319</v>
      </c>
      <c r="F77" s="67">
        <v>256.332</v>
      </c>
      <c r="G77" s="67">
        <v>8.738</v>
      </c>
      <c r="H77" s="67">
        <v>24.408</v>
      </c>
      <c r="I77" s="67">
        <v>16.561</v>
      </c>
      <c r="J77" s="67">
        <v>30.558</v>
      </c>
      <c r="K77" s="67">
        <v>20.942</v>
      </c>
      <c r="L77" s="67">
        <v>128.546</v>
      </c>
      <c r="M77" s="67">
        <v>145.49</v>
      </c>
      <c r="N77" s="67">
        <v>128.546</v>
      </c>
      <c r="O77" s="67">
        <v>140.186</v>
      </c>
      <c r="P77" s="67">
        <v>131.686</v>
      </c>
      <c r="Q77" s="67">
        <v>145.206</v>
      </c>
      <c r="R77" s="67">
        <v>126.45</v>
      </c>
      <c r="S77" s="67">
        <v>156.789</v>
      </c>
      <c r="T77" s="67">
        <v>292.571</v>
      </c>
      <c r="U77" s="67">
        <v>62.516</v>
      </c>
      <c r="V77" s="67">
        <v>225.949</v>
      </c>
    </row>
    <row r="78">
      <c r="D78" s="66">
        <v>22.0</v>
      </c>
      <c r="E78" s="67">
        <v>62.55</v>
      </c>
      <c r="F78" s="67">
        <v>239.523</v>
      </c>
      <c r="G78" s="67">
        <v>7.493</v>
      </c>
      <c r="H78" s="67">
        <v>22.439</v>
      </c>
      <c r="I78" s="67">
        <v>14.748</v>
      </c>
      <c r="J78" s="67">
        <v>28.483</v>
      </c>
      <c r="K78" s="67">
        <v>21.379</v>
      </c>
      <c r="L78" s="67">
        <v>34.292</v>
      </c>
      <c r="M78" s="67">
        <v>139.382</v>
      </c>
      <c r="N78" s="67">
        <v>265.378</v>
      </c>
      <c r="O78" s="67">
        <v>132.583</v>
      </c>
      <c r="P78" s="67">
        <v>137.392</v>
      </c>
      <c r="Q78" s="67">
        <v>134.274</v>
      </c>
      <c r="R78" s="67">
        <v>132.893</v>
      </c>
      <c r="S78" s="67">
        <v>137.294</v>
      </c>
      <c r="T78" s="67">
        <v>295.683</v>
      </c>
      <c r="U78" s="67">
        <v>48.733</v>
      </c>
      <c r="V78" s="67">
        <v>222.866</v>
      </c>
    </row>
    <row r="79">
      <c r="D79" s="66">
        <v>23.0</v>
      </c>
      <c r="E79" s="67">
        <v>73.514</v>
      </c>
      <c r="F79" s="67">
        <v>256.349</v>
      </c>
      <c r="G79" s="67">
        <v>9.483</v>
      </c>
      <c r="H79" s="67">
        <v>21.593</v>
      </c>
      <c r="I79" s="67">
        <v>14.837</v>
      </c>
      <c r="J79" s="67">
        <v>24.416</v>
      </c>
      <c r="K79" s="67">
        <v>20.486</v>
      </c>
      <c r="L79" s="67">
        <v>36.168</v>
      </c>
      <c r="M79" s="67">
        <v>138.24</v>
      </c>
      <c r="N79" s="67">
        <v>146.947</v>
      </c>
      <c r="O79" s="67">
        <v>128.011</v>
      </c>
      <c r="P79" s="67">
        <v>128.787</v>
      </c>
      <c r="Q79" s="67">
        <v>131.296</v>
      </c>
      <c r="R79" s="67">
        <v>127.033</v>
      </c>
      <c r="S79" s="67">
        <v>125.567</v>
      </c>
      <c r="T79" s="67">
        <v>299.464</v>
      </c>
      <c r="U79" s="67">
        <v>78.876</v>
      </c>
      <c r="V79" s="67">
        <v>238.738</v>
      </c>
    </row>
    <row r="80">
      <c r="D80" s="66">
        <v>24.0</v>
      </c>
      <c r="E80" s="67">
        <v>64.466</v>
      </c>
      <c r="F80" s="67">
        <v>247.853</v>
      </c>
      <c r="G80" s="67">
        <v>6.473</v>
      </c>
      <c r="H80" s="67">
        <v>29.594</v>
      </c>
      <c r="I80" s="67">
        <v>15.473</v>
      </c>
      <c r="J80" s="67">
        <v>21.483</v>
      </c>
      <c r="K80" s="67">
        <v>22.383</v>
      </c>
      <c r="L80" s="67">
        <v>38.573</v>
      </c>
      <c r="M80" s="67">
        <v>132.438</v>
      </c>
      <c r="N80" s="67">
        <v>236.472</v>
      </c>
      <c r="O80" s="67">
        <v>142.416</v>
      </c>
      <c r="P80" s="67">
        <v>133.753</v>
      </c>
      <c r="Q80" s="67">
        <v>134.1</v>
      </c>
      <c r="R80" s="67">
        <v>126.418</v>
      </c>
      <c r="S80" s="67">
        <v>131.14</v>
      </c>
      <c r="T80" s="67">
        <v>290.969</v>
      </c>
      <c r="U80" s="67">
        <v>105.219</v>
      </c>
      <c r="V80" s="67">
        <v>237.976</v>
      </c>
    </row>
    <row r="81">
      <c r="D81" s="66">
        <v>25.0</v>
      </c>
      <c r="E81" s="67">
        <v>63.755</v>
      </c>
      <c r="F81" s="67">
        <v>246.698</v>
      </c>
      <c r="G81" s="67">
        <v>10.342</v>
      </c>
      <c r="H81" s="67">
        <v>28.483</v>
      </c>
      <c r="I81" s="67">
        <v>15.373</v>
      </c>
      <c r="J81" s="67">
        <v>22.954</v>
      </c>
      <c r="K81" s="67">
        <v>21.492</v>
      </c>
      <c r="L81" s="67">
        <v>28.463</v>
      </c>
      <c r="M81" s="67">
        <v>150.843</v>
      </c>
      <c r="N81" s="67">
        <v>154.708</v>
      </c>
      <c r="O81" s="67">
        <v>159.242</v>
      </c>
      <c r="P81" s="67">
        <v>134.537</v>
      </c>
      <c r="Q81" s="67">
        <v>139.731</v>
      </c>
      <c r="R81" s="67">
        <v>126.682</v>
      </c>
      <c r="S81" s="67">
        <v>139.078</v>
      </c>
      <c r="T81" s="67">
        <v>264.414</v>
      </c>
      <c r="U81" s="67">
        <v>48.023</v>
      </c>
      <c r="V81" s="67">
        <v>241.713</v>
      </c>
    </row>
    <row r="82">
      <c r="D82" s="66">
        <v>26.0</v>
      </c>
      <c r="E82" s="67">
        <v>64.955</v>
      </c>
      <c r="F82" s="67">
        <v>252.808</v>
      </c>
      <c r="G82" s="67">
        <v>8.483</v>
      </c>
      <c r="H82" s="67">
        <v>26.843</v>
      </c>
      <c r="I82" s="67">
        <v>16.278</v>
      </c>
      <c r="J82" s="67">
        <v>24.758</v>
      </c>
      <c r="K82" s="67">
        <v>21.387</v>
      </c>
      <c r="L82" s="67">
        <v>38.493</v>
      </c>
      <c r="M82" s="67">
        <v>144.119</v>
      </c>
      <c r="N82" s="67">
        <v>146.818</v>
      </c>
      <c r="O82" s="67">
        <v>132.754</v>
      </c>
      <c r="P82" s="67">
        <v>132.616</v>
      </c>
      <c r="Q82" s="67">
        <v>136.133</v>
      </c>
      <c r="R82" s="67">
        <v>126.374</v>
      </c>
      <c r="S82" s="67">
        <v>134.731</v>
      </c>
      <c r="T82" s="67">
        <v>292.286</v>
      </c>
      <c r="U82" s="67">
        <v>46.043</v>
      </c>
      <c r="V82" s="67">
        <v>244.175</v>
      </c>
    </row>
    <row r="83">
      <c r="D83" s="66">
        <v>27.0</v>
      </c>
      <c r="E83" s="67">
        <v>66.464</v>
      </c>
      <c r="F83" s="67">
        <v>255.283</v>
      </c>
      <c r="G83" s="67">
        <v>11.378</v>
      </c>
      <c r="H83" s="67">
        <v>29.43</v>
      </c>
      <c r="I83" s="67">
        <v>17.739</v>
      </c>
      <c r="J83" s="67">
        <v>27.473</v>
      </c>
      <c r="K83" s="67">
        <v>23.289</v>
      </c>
      <c r="L83" s="67">
        <v>39.5638</v>
      </c>
      <c r="M83" s="67">
        <v>132.483</v>
      </c>
      <c r="N83" s="67">
        <v>219.892</v>
      </c>
      <c r="O83" s="67">
        <v>128.965</v>
      </c>
      <c r="P83" s="67">
        <v>129.207</v>
      </c>
      <c r="Q83" s="67">
        <v>128.43</v>
      </c>
      <c r="R83" s="67">
        <v>126.194</v>
      </c>
      <c r="S83" s="67">
        <v>125.774</v>
      </c>
      <c r="T83" s="67">
        <v>289.991</v>
      </c>
      <c r="U83" s="67">
        <v>37.887</v>
      </c>
      <c r="V83" s="67">
        <v>238.496</v>
      </c>
    </row>
    <row r="84">
      <c r="D84" s="66">
        <v>28.0</v>
      </c>
      <c r="E84" s="67">
        <v>58.17</v>
      </c>
      <c r="F84" s="67">
        <v>249.052</v>
      </c>
      <c r="G84" s="67">
        <v>12.583</v>
      </c>
      <c r="H84" s="67">
        <v>28.403</v>
      </c>
      <c r="I84" s="67">
        <v>15.326</v>
      </c>
      <c r="J84" s="67">
        <v>22.574</v>
      </c>
      <c r="K84" s="67">
        <v>21.378</v>
      </c>
      <c r="L84" s="67">
        <v>32.4839</v>
      </c>
      <c r="M84" s="67">
        <v>132.32</v>
      </c>
      <c r="N84" s="67">
        <v>210.382</v>
      </c>
      <c r="O84" s="67">
        <v>139.478</v>
      </c>
      <c r="P84" s="67">
        <v>129.562</v>
      </c>
      <c r="Q84" s="67">
        <v>138.348</v>
      </c>
      <c r="R84" s="67">
        <v>126.083</v>
      </c>
      <c r="S84" s="67">
        <v>141.136</v>
      </c>
      <c r="T84" s="67">
        <v>272.337</v>
      </c>
      <c r="U84" s="67">
        <v>36.851</v>
      </c>
      <c r="V84" s="67">
        <v>228.089</v>
      </c>
    </row>
    <row r="85">
      <c r="D85" s="66">
        <v>29.0</v>
      </c>
      <c r="E85" s="67">
        <v>68.584</v>
      </c>
      <c r="F85" s="67">
        <v>239.434</v>
      </c>
      <c r="G85" s="67">
        <v>7.324</v>
      </c>
      <c r="H85" s="67">
        <v>27.438</v>
      </c>
      <c r="I85" s="67">
        <v>15.483</v>
      </c>
      <c r="J85" s="67">
        <v>21.4783</v>
      </c>
      <c r="K85" s="67">
        <v>20.437</v>
      </c>
      <c r="L85" s="67">
        <v>33.593</v>
      </c>
      <c r="M85" s="67">
        <v>142.42</v>
      </c>
      <c r="N85" s="67">
        <v>287.372</v>
      </c>
      <c r="O85" s="67">
        <v>142.298</v>
      </c>
      <c r="P85" s="67">
        <v>314.457</v>
      </c>
      <c r="Q85" s="67">
        <v>151.892</v>
      </c>
      <c r="R85" s="67">
        <v>128.473</v>
      </c>
      <c r="S85" s="67">
        <v>150.74</v>
      </c>
      <c r="T85" s="67">
        <v>269.262</v>
      </c>
      <c r="U85" s="67">
        <v>45.105</v>
      </c>
      <c r="V85" s="67">
        <v>219.785</v>
      </c>
    </row>
    <row r="86">
      <c r="D86" s="66">
        <v>30.0</v>
      </c>
      <c r="E86" s="67">
        <v>68.936</v>
      </c>
      <c r="F86" s="67">
        <v>242.346</v>
      </c>
      <c r="G86" s="67">
        <v>9.382</v>
      </c>
      <c r="H86" s="67">
        <v>28.543</v>
      </c>
      <c r="I86" s="67">
        <v>16.849</v>
      </c>
      <c r="J86" s="67">
        <v>25.93</v>
      </c>
      <c r="K86" s="67">
        <v>19.472</v>
      </c>
      <c r="L86" s="67">
        <v>38.473</v>
      </c>
      <c r="M86" s="67">
        <v>132.583</v>
      </c>
      <c r="N86" s="67">
        <v>256.478</v>
      </c>
      <c r="O86" s="67">
        <v>135.279</v>
      </c>
      <c r="P86" s="67">
        <v>130.659</v>
      </c>
      <c r="Q86" s="67">
        <v>134.101</v>
      </c>
      <c r="R86" s="67">
        <v>126.779</v>
      </c>
      <c r="S86" s="67">
        <v>150.668</v>
      </c>
      <c r="T86" s="67">
        <v>300.845</v>
      </c>
      <c r="U86" s="67">
        <v>85.882</v>
      </c>
      <c r="V86" s="67">
        <v>222.542</v>
      </c>
    </row>
    <row r="87">
      <c r="D87" s="66">
        <v>31.0</v>
      </c>
      <c r="E87" s="67">
        <v>58.963</v>
      </c>
      <c r="F87" s="67">
        <v>240.914</v>
      </c>
      <c r="G87" s="67">
        <v>9.483</v>
      </c>
      <c r="H87" s="67">
        <v>29.503</v>
      </c>
      <c r="I87" s="67">
        <v>15.32</v>
      </c>
      <c r="J87" s="67">
        <v>28.493</v>
      </c>
      <c r="K87" s="67">
        <v>18.472</v>
      </c>
      <c r="L87" s="67">
        <v>33.482</v>
      </c>
      <c r="M87" s="67">
        <v>135.983</v>
      </c>
      <c r="N87" s="67">
        <v>293.643</v>
      </c>
      <c r="O87" s="67">
        <v>141.716</v>
      </c>
      <c r="P87" s="67">
        <v>132.435</v>
      </c>
      <c r="Q87" s="67">
        <v>133.283</v>
      </c>
      <c r="R87" s="67">
        <v>126.606</v>
      </c>
      <c r="S87" s="67">
        <v>135.232</v>
      </c>
      <c r="T87" s="67">
        <v>271.325</v>
      </c>
      <c r="U87" s="67">
        <v>40.001</v>
      </c>
      <c r="V87" s="67">
        <v>245.135</v>
      </c>
    </row>
    <row r="88">
      <c r="D88" s="66">
        <v>32.0</v>
      </c>
      <c r="E88" s="67">
        <v>63.587</v>
      </c>
      <c r="F88" s="67">
        <v>260.018</v>
      </c>
      <c r="G88" s="67">
        <v>9.493</v>
      </c>
      <c r="H88" s="67">
        <v>27.483</v>
      </c>
      <c r="I88" s="67">
        <v>16.483</v>
      </c>
      <c r="J88" s="67">
        <v>28.564</v>
      </c>
      <c r="K88" s="67">
        <v>18.92</v>
      </c>
      <c r="L88" s="67">
        <v>31.839</v>
      </c>
      <c r="M88" s="67">
        <v>142.543</v>
      </c>
      <c r="N88" s="67">
        <v>310.372</v>
      </c>
      <c r="O88" s="67">
        <v>135.624</v>
      </c>
      <c r="P88" s="67">
        <v>128.057</v>
      </c>
      <c r="Q88" s="67">
        <v>137.011</v>
      </c>
      <c r="R88" s="67">
        <v>126.992</v>
      </c>
      <c r="S88" s="67">
        <v>139.19</v>
      </c>
      <c r="T88" s="67">
        <v>268.727</v>
      </c>
      <c r="U88" s="67">
        <v>35.821</v>
      </c>
      <c r="V88" s="67">
        <v>235.831</v>
      </c>
    </row>
    <row r="89">
      <c r="D89" s="66">
        <v>33.0</v>
      </c>
      <c r="E89" s="67">
        <v>61.309</v>
      </c>
      <c r="F89" s="67">
        <v>256.222</v>
      </c>
      <c r="G89" s="67">
        <v>10.428</v>
      </c>
      <c r="H89" s="67">
        <v>26.593</v>
      </c>
      <c r="I89" s="67">
        <v>17.473</v>
      </c>
      <c r="J89" s="67">
        <v>29.573</v>
      </c>
      <c r="K89" s="67">
        <v>19.99</v>
      </c>
      <c r="L89" s="67">
        <v>38.348</v>
      </c>
      <c r="M89" s="67">
        <v>132.483</v>
      </c>
      <c r="N89" s="67">
        <v>323.272</v>
      </c>
      <c r="O89" s="67">
        <v>151.805</v>
      </c>
      <c r="P89" s="67">
        <v>127.365</v>
      </c>
      <c r="Q89" s="67">
        <v>140.258</v>
      </c>
      <c r="R89" s="67">
        <v>126.693</v>
      </c>
      <c r="S89" s="67">
        <v>135.253</v>
      </c>
      <c r="T89" s="67">
        <v>290.45</v>
      </c>
      <c r="U89" s="67">
        <v>32.614</v>
      </c>
      <c r="V89" s="67">
        <v>233.81</v>
      </c>
    </row>
    <row r="90">
      <c r="D90" s="66">
        <v>34.0</v>
      </c>
      <c r="E90" s="67">
        <v>63.412</v>
      </c>
      <c r="F90" s="67">
        <v>255.537</v>
      </c>
      <c r="G90" s="67">
        <v>6.998</v>
      </c>
      <c r="H90" s="67">
        <v>30.583</v>
      </c>
      <c r="I90" s="67">
        <v>16.382</v>
      </c>
      <c r="J90" s="67">
        <v>23.864</v>
      </c>
      <c r="K90" s="67">
        <v>17.482</v>
      </c>
      <c r="L90" s="67">
        <v>35.383</v>
      </c>
      <c r="M90" s="67">
        <v>134.41</v>
      </c>
      <c r="N90" s="67">
        <v>303.237</v>
      </c>
      <c r="O90" s="67">
        <v>145.984</v>
      </c>
      <c r="P90" s="67">
        <v>159.646</v>
      </c>
      <c r="Q90" s="67">
        <v>138.179</v>
      </c>
      <c r="R90" s="67">
        <v>126.946</v>
      </c>
      <c r="S90" s="67">
        <v>140.706</v>
      </c>
      <c r="T90" s="67">
        <v>282.679</v>
      </c>
      <c r="U90" s="67">
        <v>48.28</v>
      </c>
      <c r="V90" s="67">
        <v>239.552</v>
      </c>
    </row>
    <row r="91">
      <c r="D91" s="66">
        <v>35.0</v>
      </c>
      <c r="E91" s="67">
        <v>67.46</v>
      </c>
      <c r="F91" s="67">
        <v>240.932</v>
      </c>
      <c r="G91" s="67">
        <v>7.948</v>
      </c>
      <c r="H91" s="67">
        <v>29.483</v>
      </c>
      <c r="I91" s="67">
        <v>16.493</v>
      </c>
      <c r="J91" s="67">
        <v>27.473</v>
      </c>
      <c r="K91" s="67">
        <v>19.492</v>
      </c>
      <c r="L91" s="67">
        <v>38.474</v>
      </c>
      <c r="M91" s="67">
        <v>137.473</v>
      </c>
      <c r="N91" s="67">
        <v>298.268</v>
      </c>
      <c r="O91" s="67">
        <v>140.099</v>
      </c>
      <c r="P91" s="67">
        <v>301.252</v>
      </c>
      <c r="Q91" s="67">
        <v>135.544</v>
      </c>
      <c r="R91" s="67">
        <v>127.648</v>
      </c>
      <c r="S91" s="67">
        <v>131.167</v>
      </c>
      <c r="T91" s="67">
        <v>292.879</v>
      </c>
      <c r="U91" s="67">
        <v>49.875</v>
      </c>
      <c r="V91" s="67">
        <v>223.371</v>
      </c>
    </row>
    <row r="92">
      <c r="D92" s="66">
        <v>36.0</v>
      </c>
      <c r="E92" s="67">
        <v>60.237</v>
      </c>
      <c r="F92" s="67">
        <v>233.647</v>
      </c>
      <c r="G92" s="67">
        <v>9.931</v>
      </c>
      <c r="H92" s="67">
        <v>26.709</v>
      </c>
      <c r="I92" s="67">
        <v>17.473</v>
      </c>
      <c r="J92" s="67">
        <v>27.982</v>
      </c>
      <c r="K92" s="67">
        <v>19.25</v>
      </c>
      <c r="L92" s="67">
        <v>32.484</v>
      </c>
      <c r="M92" s="67">
        <v>136.483</v>
      </c>
      <c r="N92" s="67">
        <v>265.472</v>
      </c>
      <c r="O92" s="67">
        <v>132.483</v>
      </c>
      <c r="P92" s="67">
        <v>145.342</v>
      </c>
      <c r="Q92" s="67">
        <v>130.795</v>
      </c>
      <c r="R92" s="67">
        <v>314.284</v>
      </c>
      <c r="S92" s="67">
        <v>132.515</v>
      </c>
      <c r="T92" s="67">
        <v>325.511</v>
      </c>
      <c r="U92" s="67">
        <v>44.454</v>
      </c>
      <c r="V92" s="67">
        <v>220.786</v>
      </c>
    </row>
    <row r="93">
      <c r="D93" s="66">
        <v>37.0</v>
      </c>
      <c r="E93" s="67">
        <v>71.23</v>
      </c>
      <c r="F93" s="67">
        <v>263.452</v>
      </c>
      <c r="G93" s="67">
        <v>11.81</v>
      </c>
      <c r="H93" s="67">
        <v>32.461</v>
      </c>
      <c r="I93" s="67">
        <v>16.161</v>
      </c>
      <c r="J93" s="67">
        <v>28.583</v>
      </c>
      <c r="K93" s="67">
        <v>19.986</v>
      </c>
      <c r="L93" s="67">
        <v>33.432</v>
      </c>
      <c r="M93" s="67">
        <v>139.273</v>
      </c>
      <c r="N93" s="67">
        <v>287.493</v>
      </c>
      <c r="O93" s="68">
        <v>206.65</v>
      </c>
      <c r="P93" s="67">
        <v>133.827</v>
      </c>
      <c r="Q93" s="67">
        <v>211.137</v>
      </c>
      <c r="R93" s="67">
        <v>128.493</v>
      </c>
      <c r="S93" s="67">
        <v>142.475</v>
      </c>
      <c r="T93" s="67">
        <v>321.482</v>
      </c>
      <c r="U93" s="67">
        <v>53.881</v>
      </c>
      <c r="V93" s="67">
        <v>305.732</v>
      </c>
    </row>
    <row r="94">
      <c r="D94" s="66">
        <v>38.0</v>
      </c>
      <c r="E94" s="67">
        <v>60.407</v>
      </c>
      <c r="F94" s="67">
        <v>251.25</v>
      </c>
      <c r="G94" s="67">
        <v>10.473</v>
      </c>
      <c r="H94" s="67">
        <v>31.593</v>
      </c>
      <c r="I94" s="67">
        <v>16.483</v>
      </c>
      <c r="J94" s="67">
        <v>29.482</v>
      </c>
      <c r="K94" s="67">
        <v>18.482</v>
      </c>
      <c r="L94" s="67">
        <v>39.584</v>
      </c>
      <c r="M94" s="67">
        <v>132.427</v>
      </c>
      <c r="N94" s="67">
        <v>198.368</v>
      </c>
      <c r="O94" s="67">
        <v>142.509</v>
      </c>
      <c r="P94" s="67">
        <v>130.451</v>
      </c>
      <c r="Q94" s="67">
        <v>136.241</v>
      </c>
      <c r="R94" s="67">
        <v>125.983</v>
      </c>
      <c r="S94" s="67">
        <v>142.942</v>
      </c>
      <c r="T94" s="67">
        <v>272.138</v>
      </c>
      <c r="U94" s="67">
        <v>38.867</v>
      </c>
      <c r="V94" s="67">
        <v>231.507</v>
      </c>
    </row>
    <row r="95">
      <c r="D95" s="66">
        <v>39.0</v>
      </c>
      <c r="E95" s="67">
        <v>66.029</v>
      </c>
      <c r="F95" s="67">
        <v>271.345</v>
      </c>
      <c r="G95" s="67">
        <v>9.473</v>
      </c>
      <c r="H95" s="67">
        <v>32.483</v>
      </c>
      <c r="I95" s="67">
        <v>17.398</v>
      </c>
      <c r="J95" s="67">
        <v>29.483</v>
      </c>
      <c r="K95" s="67">
        <v>19.462</v>
      </c>
      <c r="L95" s="67">
        <v>31.3</v>
      </c>
      <c r="M95" s="67">
        <v>135.414</v>
      </c>
      <c r="N95" s="67">
        <v>152.974</v>
      </c>
      <c r="O95" s="67">
        <v>143.695</v>
      </c>
      <c r="P95" s="67">
        <v>127.932</v>
      </c>
      <c r="Q95" s="67">
        <v>159.795</v>
      </c>
      <c r="R95" s="67">
        <v>126.591</v>
      </c>
      <c r="S95" s="67">
        <v>139.146</v>
      </c>
      <c r="T95" s="67">
        <v>269.863</v>
      </c>
      <c r="U95" s="67">
        <v>103.52</v>
      </c>
      <c r="V95" s="67">
        <v>239.702</v>
      </c>
    </row>
    <row r="96">
      <c r="D96" s="66">
        <v>40.0</v>
      </c>
      <c r="E96" s="67">
        <v>64.385</v>
      </c>
      <c r="F96" s="67">
        <v>254.392</v>
      </c>
      <c r="G96" s="67">
        <v>9.425</v>
      </c>
      <c r="H96" s="67">
        <v>29.573</v>
      </c>
      <c r="I96" s="67">
        <v>16.473</v>
      </c>
      <c r="J96" s="67">
        <v>27.584</v>
      </c>
      <c r="K96" s="67">
        <v>19.493</v>
      </c>
      <c r="L96" s="67">
        <v>33.953</v>
      </c>
      <c r="M96" s="67">
        <v>131.282</v>
      </c>
      <c r="N96" s="67">
        <v>310.372</v>
      </c>
      <c r="O96" s="67">
        <v>146.135</v>
      </c>
      <c r="P96" s="67">
        <v>255.599</v>
      </c>
      <c r="Q96" s="67">
        <v>145.778</v>
      </c>
      <c r="R96" s="67">
        <v>129.028</v>
      </c>
      <c r="S96" s="67">
        <v>140.223</v>
      </c>
      <c r="T96" s="67">
        <v>269.046</v>
      </c>
      <c r="U96" s="67">
        <v>42.568</v>
      </c>
      <c r="V96" s="67">
        <v>220.784</v>
      </c>
    </row>
    <row r="97">
      <c r="D97" s="66">
        <v>41.0</v>
      </c>
      <c r="E97" s="67">
        <v>63.865</v>
      </c>
      <c r="F97" s="67">
        <v>238.447</v>
      </c>
      <c r="G97" s="67">
        <v>7.976</v>
      </c>
      <c r="H97" s="67">
        <v>29.794</v>
      </c>
      <c r="I97" s="67">
        <v>17.473</v>
      </c>
      <c r="J97" s="67">
        <v>28.394</v>
      </c>
      <c r="K97" s="67">
        <v>20.472</v>
      </c>
      <c r="L97" s="67">
        <v>37.463</v>
      </c>
      <c r="M97" s="67">
        <v>133.292</v>
      </c>
      <c r="N97" s="67">
        <v>354.272</v>
      </c>
      <c r="O97" s="67">
        <v>136.506</v>
      </c>
      <c r="P97" s="67">
        <v>142.701</v>
      </c>
      <c r="Q97" s="67">
        <v>135.845</v>
      </c>
      <c r="R97" s="67">
        <v>129.078</v>
      </c>
      <c r="S97" s="67">
        <v>135.338</v>
      </c>
      <c r="T97" s="67">
        <v>286.998</v>
      </c>
      <c r="U97" s="67">
        <v>35.51</v>
      </c>
      <c r="V97" s="67">
        <v>222.691</v>
      </c>
    </row>
    <row r="98">
      <c r="D98" s="66">
        <v>42.0</v>
      </c>
      <c r="E98" s="67">
        <v>61.415</v>
      </c>
      <c r="F98" s="67">
        <v>253.236</v>
      </c>
      <c r="G98" s="67">
        <v>7.483</v>
      </c>
      <c r="H98" s="67">
        <v>31.328</v>
      </c>
      <c r="I98" s="67">
        <v>15.483</v>
      </c>
      <c r="J98" s="67">
        <v>29.473</v>
      </c>
      <c r="K98" s="67">
        <v>21.368</v>
      </c>
      <c r="L98" s="67">
        <v>39.479</v>
      </c>
      <c r="M98" s="67">
        <v>130.684</v>
      </c>
      <c r="N98" s="67">
        <v>339.454</v>
      </c>
      <c r="O98" s="67">
        <v>148.211</v>
      </c>
      <c r="P98" s="67">
        <v>180.32</v>
      </c>
      <c r="Q98" s="67">
        <v>137.177</v>
      </c>
      <c r="R98" s="67">
        <v>126.77</v>
      </c>
      <c r="S98" s="67">
        <v>141.976</v>
      </c>
      <c r="T98" s="67">
        <v>384.687</v>
      </c>
      <c r="U98" s="67">
        <v>49.0</v>
      </c>
      <c r="V98" s="67">
        <v>239.507</v>
      </c>
    </row>
    <row r="99">
      <c r="D99" s="66">
        <v>43.0</v>
      </c>
      <c r="E99" s="67">
        <v>60.031</v>
      </c>
      <c r="F99" s="67">
        <v>238.724</v>
      </c>
      <c r="G99" s="67">
        <v>6.453</v>
      </c>
      <c r="H99" s="67">
        <v>27.439</v>
      </c>
      <c r="I99" s="67">
        <v>15.483</v>
      </c>
      <c r="J99" s="67">
        <v>28.932</v>
      </c>
      <c r="K99" s="67">
        <v>18.4729</v>
      </c>
      <c r="L99" s="67">
        <v>36.574</v>
      </c>
      <c r="M99" s="67">
        <v>142.321</v>
      </c>
      <c r="N99" s="67">
        <v>342.183</v>
      </c>
      <c r="O99" s="67">
        <v>133.833</v>
      </c>
      <c r="P99" s="67">
        <v>315.668</v>
      </c>
      <c r="Q99" s="67">
        <v>135.119</v>
      </c>
      <c r="R99" s="67">
        <v>127.181</v>
      </c>
      <c r="S99" s="67">
        <v>130.379</v>
      </c>
      <c r="T99" s="67">
        <v>292.365</v>
      </c>
      <c r="U99" s="67">
        <v>47.557</v>
      </c>
      <c r="V99" s="67">
        <v>233.192</v>
      </c>
    </row>
    <row r="100">
      <c r="D100" s="66">
        <v>44.0</v>
      </c>
      <c r="E100" s="67">
        <v>61.167</v>
      </c>
      <c r="F100" s="67">
        <v>244.965</v>
      </c>
      <c r="G100" s="67">
        <v>8.484</v>
      </c>
      <c r="H100" s="67">
        <v>28.473</v>
      </c>
      <c r="I100" s="67">
        <v>15.493</v>
      </c>
      <c r="J100" s="67">
        <v>29.483</v>
      </c>
      <c r="K100" s="67">
        <v>19.382</v>
      </c>
      <c r="L100" s="67">
        <v>33.472</v>
      </c>
      <c r="M100" s="67">
        <v>143.298</v>
      </c>
      <c r="N100" s="67">
        <v>333.982</v>
      </c>
      <c r="O100" s="67">
        <v>143.939</v>
      </c>
      <c r="P100" s="67">
        <v>127.724</v>
      </c>
      <c r="Q100" s="67">
        <v>143.49</v>
      </c>
      <c r="R100" s="67">
        <v>127.705</v>
      </c>
      <c r="S100" s="67">
        <v>137.779</v>
      </c>
      <c r="T100" s="67">
        <v>270.73</v>
      </c>
      <c r="U100" s="67">
        <v>44.18</v>
      </c>
      <c r="V100" s="67">
        <v>238.513</v>
      </c>
    </row>
    <row r="101">
      <c r="D101" s="66">
        <v>45.0</v>
      </c>
      <c r="E101" s="67">
        <v>65.127</v>
      </c>
      <c r="F101" s="67">
        <v>234.85</v>
      </c>
      <c r="G101" s="67">
        <v>9.493</v>
      </c>
      <c r="H101" s="67">
        <v>26.493</v>
      </c>
      <c r="I101" s="67">
        <v>17.473</v>
      </c>
      <c r="J101" s="67">
        <v>28.463</v>
      </c>
      <c r="K101" s="67">
        <v>19.482</v>
      </c>
      <c r="L101" s="67">
        <v>31.372</v>
      </c>
      <c r="M101" s="67">
        <v>132.088</v>
      </c>
      <c r="N101" s="67">
        <v>151.726</v>
      </c>
      <c r="O101" s="67">
        <v>143.556</v>
      </c>
      <c r="P101" s="67">
        <v>126.149</v>
      </c>
      <c r="Q101" s="67">
        <v>145.933</v>
      </c>
      <c r="R101" s="67">
        <v>126.742</v>
      </c>
      <c r="S101" s="67">
        <v>136.824</v>
      </c>
      <c r="T101" s="67">
        <v>272.463</v>
      </c>
      <c r="U101" s="67">
        <v>104.104</v>
      </c>
      <c r="V101" s="67">
        <v>243.831</v>
      </c>
    </row>
    <row r="102">
      <c r="D102" s="66">
        <v>46.0</v>
      </c>
      <c r="E102" s="67">
        <v>63.865</v>
      </c>
      <c r="F102" s="67">
        <v>243.353</v>
      </c>
      <c r="G102" s="67">
        <v>7.543</v>
      </c>
      <c r="H102" s="67">
        <v>24.538</v>
      </c>
      <c r="I102" s="67">
        <v>16.432</v>
      </c>
      <c r="J102" s="67">
        <v>29.463</v>
      </c>
      <c r="K102" s="67">
        <v>19.472</v>
      </c>
      <c r="L102" s="67">
        <v>28.492</v>
      </c>
      <c r="M102" s="67">
        <v>133.264</v>
      </c>
      <c r="N102" s="67">
        <v>187.473</v>
      </c>
      <c r="O102" s="67">
        <v>148.885</v>
      </c>
      <c r="P102" s="67">
        <v>127.489</v>
      </c>
      <c r="Q102" s="67">
        <v>152.111</v>
      </c>
      <c r="R102" s="67">
        <v>126.715</v>
      </c>
      <c r="S102" s="67">
        <v>136.579</v>
      </c>
      <c r="T102" s="67">
        <v>253.516</v>
      </c>
      <c r="U102" s="67">
        <v>34.352</v>
      </c>
      <c r="V102" s="67">
        <v>235.303</v>
      </c>
    </row>
    <row r="103">
      <c r="D103" s="66">
        <v>47.0</v>
      </c>
      <c r="E103" s="67">
        <v>61.765</v>
      </c>
      <c r="F103" s="67">
        <v>255.961</v>
      </c>
      <c r="G103" s="67">
        <v>9.594</v>
      </c>
      <c r="H103" s="67">
        <v>28.493</v>
      </c>
      <c r="I103" s="67">
        <v>17.493</v>
      </c>
      <c r="J103" s="67">
        <v>29.473</v>
      </c>
      <c r="K103" s="67">
        <v>17.389</v>
      </c>
      <c r="L103" s="67">
        <v>27.483</v>
      </c>
      <c r="M103" s="67">
        <v>137.483</v>
      </c>
      <c r="N103" s="67">
        <v>198.462</v>
      </c>
      <c r="O103" s="67">
        <v>144.863</v>
      </c>
      <c r="P103" s="67">
        <v>287.581</v>
      </c>
      <c r="Q103" s="67">
        <v>135.284</v>
      </c>
      <c r="R103" s="67">
        <v>126.612</v>
      </c>
      <c r="S103" s="67">
        <v>137.123</v>
      </c>
      <c r="T103" s="67">
        <v>290.619</v>
      </c>
      <c r="U103" s="67">
        <v>48.019</v>
      </c>
      <c r="V103" s="67">
        <v>227.2</v>
      </c>
    </row>
    <row r="104">
      <c r="D104" s="66">
        <v>48.0</v>
      </c>
      <c r="E104" s="67">
        <v>70.157</v>
      </c>
      <c r="F104" s="67">
        <v>249.995</v>
      </c>
      <c r="G104" s="67">
        <v>9.493</v>
      </c>
      <c r="H104" s="67">
        <v>22.473</v>
      </c>
      <c r="I104" s="67">
        <v>16.382</v>
      </c>
      <c r="J104" s="67">
        <v>27.382</v>
      </c>
      <c r="K104" s="67">
        <v>18.489</v>
      </c>
      <c r="L104" s="67">
        <v>39.473</v>
      </c>
      <c r="M104" s="67">
        <v>125.867</v>
      </c>
      <c r="N104" s="67">
        <v>336.985</v>
      </c>
      <c r="O104" s="67">
        <v>130.672</v>
      </c>
      <c r="P104" s="67">
        <v>177.706</v>
      </c>
      <c r="Q104" s="67">
        <v>149.402</v>
      </c>
      <c r="R104" s="67">
        <v>126.705</v>
      </c>
      <c r="S104" s="67">
        <v>124.746</v>
      </c>
      <c r="T104" s="67">
        <v>289.935</v>
      </c>
      <c r="U104" s="67">
        <v>45.205</v>
      </c>
      <c r="V104" s="67">
        <v>215.769</v>
      </c>
    </row>
    <row r="105">
      <c r="D105" s="66">
        <v>49.0</v>
      </c>
      <c r="E105" s="67">
        <v>66.285</v>
      </c>
      <c r="F105" s="67">
        <v>256.382</v>
      </c>
      <c r="G105" s="67">
        <v>8.483</v>
      </c>
      <c r="H105" s="67">
        <v>21.384</v>
      </c>
      <c r="I105" s="67">
        <v>15.483</v>
      </c>
      <c r="J105" s="67">
        <v>26.483</v>
      </c>
      <c r="K105" s="67">
        <v>20.352</v>
      </c>
      <c r="L105" s="67">
        <v>33.073</v>
      </c>
      <c r="M105" s="67">
        <v>129.586</v>
      </c>
      <c r="N105" s="67">
        <v>146.791</v>
      </c>
      <c r="O105" s="67">
        <v>139.274</v>
      </c>
      <c r="P105" s="67">
        <v>127.941</v>
      </c>
      <c r="Q105" s="67">
        <v>137.435</v>
      </c>
      <c r="R105" s="67">
        <v>126.334</v>
      </c>
      <c r="S105" s="67">
        <v>153.832</v>
      </c>
      <c r="T105" s="67">
        <v>296.219</v>
      </c>
      <c r="U105" s="67">
        <v>58.656</v>
      </c>
      <c r="V105" s="67">
        <v>241.289</v>
      </c>
    </row>
    <row r="106">
      <c r="D106" s="66">
        <v>50.0</v>
      </c>
      <c r="E106" s="67">
        <v>68.503</v>
      </c>
      <c r="F106" s="67">
        <v>263.753</v>
      </c>
      <c r="G106" s="67">
        <v>9.403</v>
      </c>
      <c r="H106" s="67">
        <v>28.353</v>
      </c>
      <c r="I106" s="67">
        <v>16.483</v>
      </c>
      <c r="J106" s="67">
        <v>26.98</v>
      </c>
      <c r="K106" s="67">
        <v>21.392</v>
      </c>
      <c r="L106" s="67">
        <v>33.274</v>
      </c>
      <c r="M106" s="67">
        <v>129.637</v>
      </c>
      <c r="N106" s="67">
        <v>154.001</v>
      </c>
      <c r="O106" s="67">
        <v>147.263</v>
      </c>
      <c r="P106" s="67">
        <v>127.644</v>
      </c>
      <c r="Q106" s="67">
        <v>136.076</v>
      </c>
      <c r="R106" s="67">
        <v>126.328</v>
      </c>
      <c r="S106" s="67">
        <v>147.826</v>
      </c>
      <c r="T106" s="67">
        <v>302.313</v>
      </c>
      <c r="U106" s="67">
        <v>75.43</v>
      </c>
      <c r="V106" s="67">
        <v>234.624</v>
      </c>
    </row>
    <row r="107">
      <c r="D107" s="66">
        <v>51.0</v>
      </c>
      <c r="E107" s="67">
        <v>59.08</v>
      </c>
      <c r="F107" s="67">
        <v>257.399</v>
      </c>
      <c r="G107" s="67">
        <v>9.184</v>
      </c>
      <c r="H107" s="67">
        <v>29.483</v>
      </c>
      <c r="I107" s="67">
        <v>17.493</v>
      </c>
      <c r="J107" s="67">
        <v>27.578</v>
      </c>
      <c r="K107" s="67">
        <v>19.492</v>
      </c>
      <c r="L107" s="67">
        <v>32.473</v>
      </c>
      <c r="M107" s="67">
        <v>142.378</v>
      </c>
      <c r="N107" s="67">
        <v>310.327</v>
      </c>
      <c r="O107" s="67">
        <v>135.498</v>
      </c>
      <c r="P107" s="67">
        <v>131.388</v>
      </c>
      <c r="Q107" s="67">
        <v>138.06</v>
      </c>
      <c r="R107" s="67">
        <v>126.138</v>
      </c>
      <c r="S107" s="67">
        <v>144.58</v>
      </c>
      <c r="T107" s="67">
        <v>292.679</v>
      </c>
      <c r="U107" s="67">
        <v>35.487</v>
      </c>
      <c r="V107" s="67">
        <v>224.316</v>
      </c>
    </row>
    <row r="108">
      <c r="D108" s="66">
        <v>52.0</v>
      </c>
      <c r="E108" s="67">
        <v>56.778</v>
      </c>
      <c r="F108" s="67">
        <v>246.673</v>
      </c>
      <c r="G108" s="67">
        <v>9.493</v>
      </c>
      <c r="H108" s="67">
        <v>31.382</v>
      </c>
      <c r="I108" s="67">
        <v>16.428</v>
      </c>
      <c r="J108" s="67">
        <v>29.47</v>
      </c>
      <c r="K108" s="67">
        <v>19.478</v>
      </c>
      <c r="L108" s="67">
        <v>32.493</v>
      </c>
      <c r="M108" s="67">
        <v>132.472</v>
      </c>
      <c r="N108" s="67">
        <v>323.983</v>
      </c>
      <c r="O108" s="67">
        <v>139.815</v>
      </c>
      <c r="P108" s="67">
        <v>129.389</v>
      </c>
      <c r="Q108" s="67">
        <v>134.468</v>
      </c>
      <c r="R108" s="67">
        <v>126.476</v>
      </c>
      <c r="S108" s="67">
        <v>135.173</v>
      </c>
      <c r="T108" s="67">
        <v>269.808</v>
      </c>
      <c r="U108" s="67">
        <v>40.75</v>
      </c>
      <c r="V108" s="67">
        <v>232.86</v>
      </c>
    </row>
    <row r="109">
      <c r="D109" s="66">
        <v>53.0</v>
      </c>
      <c r="E109" s="67">
        <v>67.999</v>
      </c>
      <c r="F109" s="67">
        <v>252.596</v>
      </c>
      <c r="G109" s="67">
        <v>8.483</v>
      </c>
      <c r="H109" s="67">
        <v>27.457</v>
      </c>
      <c r="I109" s="67">
        <v>15.483</v>
      </c>
      <c r="J109" s="67">
        <v>26.573</v>
      </c>
      <c r="K109" s="67">
        <v>18.468</v>
      </c>
      <c r="L109" s="67">
        <v>38.483</v>
      </c>
      <c r="M109" s="67">
        <v>131.384</v>
      </c>
      <c r="N109" s="67">
        <v>145.382</v>
      </c>
      <c r="O109" s="67">
        <v>139.171</v>
      </c>
      <c r="P109" s="67">
        <v>129.783</v>
      </c>
      <c r="Q109" s="67">
        <v>140.896</v>
      </c>
      <c r="R109" s="67">
        <v>126.692</v>
      </c>
      <c r="S109" s="67">
        <v>135.627</v>
      </c>
      <c r="T109" s="67">
        <v>303.242</v>
      </c>
      <c r="U109" s="67">
        <v>45.846</v>
      </c>
      <c r="V109" s="67">
        <v>229.154</v>
      </c>
    </row>
    <row r="110">
      <c r="D110" s="66">
        <v>54.0</v>
      </c>
      <c r="E110" s="67">
        <v>72.527</v>
      </c>
      <c r="F110" s="67">
        <v>235.362</v>
      </c>
      <c r="G110" s="67">
        <v>7.389</v>
      </c>
      <c r="H110" s="67">
        <v>28.493</v>
      </c>
      <c r="I110" s="67">
        <v>17.384</v>
      </c>
      <c r="J110" s="67">
        <v>22.4783</v>
      </c>
      <c r="K110" s="67">
        <v>17.492</v>
      </c>
      <c r="L110" s="67">
        <v>33.574</v>
      </c>
      <c r="M110" s="67">
        <v>128.32</v>
      </c>
      <c r="N110" s="67">
        <v>149.154</v>
      </c>
      <c r="O110" s="67">
        <v>158.227</v>
      </c>
      <c r="P110" s="67">
        <v>126.246</v>
      </c>
      <c r="Q110" s="67">
        <v>136.01</v>
      </c>
      <c r="R110" s="67">
        <v>126.579</v>
      </c>
      <c r="S110" s="67">
        <v>148.337</v>
      </c>
      <c r="T110" s="67">
        <v>265.831</v>
      </c>
      <c r="U110" s="67">
        <v>65.139</v>
      </c>
      <c r="V110" s="67">
        <v>234.552</v>
      </c>
    </row>
    <row r="111">
      <c r="D111" s="66">
        <v>55.0</v>
      </c>
      <c r="E111" s="67">
        <v>70.372</v>
      </c>
      <c r="F111" s="67">
        <v>257.17</v>
      </c>
      <c r="G111" s="67">
        <v>6.549</v>
      </c>
      <c r="H111" s="67">
        <v>30.533</v>
      </c>
      <c r="I111" s="67">
        <v>16.483</v>
      </c>
      <c r="J111" s="67">
        <v>25.483</v>
      </c>
      <c r="K111" s="67">
        <v>21.277</v>
      </c>
      <c r="L111" s="67">
        <v>33.185</v>
      </c>
      <c r="M111" s="67">
        <v>131.154</v>
      </c>
      <c r="N111" s="67">
        <v>149.345</v>
      </c>
      <c r="O111" s="67">
        <v>139.141</v>
      </c>
      <c r="P111" s="67">
        <v>128.931</v>
      </c>
      <c r="Q111" s="67">
        <v>138.047</v>
      </c>
      <c r="R111" s="67">
        <v>126.61</v>
      </c>
      <c r="S111" s="67">
        <v>137.671</v>
      </c>
      <c r="T111" s="67">
        <v>314.093</v>
      </c>
      <c r="U111" s="67">
        <v>55.977</v>
      </c>
      <c r="V111" s="67">
        <v>227.455</v>
      </c>
    </row>
    <row r="112">
      <c r="D112" s="66">
        <v>56.0</v>
      </c>
      <c r="E112" s="67">
        <v>66.615</v>
      </c>
      <c r="F112" s="67">
        <v>267.394</v>
      </c>
      <c r="G112" s="67">
        <v>8.593</v>
      </c>
      <c r="H112" s="67">
        <v>32.953</v>
      </c>
      <c r="I112" s="67">
        <v>17.492</v>
      </c>
      <c r="J112" s="67">
        <v>27.579</v>
      </c>
      <c r="K112" s="67">
        <v>19.309</v>
      </c>
      <c r="L112" s="67">
        <v>37.135</v>
      </c>
      <c r="M112" s="67">
        <v>142.43</v>
      </c>
      <c r="N112" s="67">
        <v>157.587</v>
      </c>
      <c r="O112" s="67">
        <v>139.19</v>
      </c>
      <c r="P112" s="67">
        <v>129.977</v>
      </c>
      <c r="Q112" s="67">
        <v>136.419</v>
      </c>
      <c r="R112" s="67">
        <v>126.619</v>
      </c>
      <c r="S112" s="67">
        <v>136.726</v>
      </c>
      <c r="T112" s="67">
        <v>271.509</v>
      </c>
      <c r="U112" s="67">
        <v>58.389</v>
      </c>
      <c r="V112" s="67">
        <v>230.412</v>
      </c>
    </row>
    <row r="113">
      <c r="D113" s="66">
        <v>57.0</v>
      </c>
      <c r="E113" s="67">
        <v>65.063</v>
      </c>
      <c r="F113" s="67">
        <v>231.163</v>
      </c>
      <c r="G113" s="67">
        <v>8.092</v>
      </c>
      <c r="H113" s="67">
        <v>21.585</v>
      </c>
      <c r="I113" s="67">
        <v>16.483</v>
      </c>
      <c r="J113" s="67">
        <v>28.473</v>
      </c>
      <c r="K113" s="67">
        <v>22.583</v>
      </c>
      <c r="L113" s="67">
        <v>34.263</v>
      </c>
      <c r="M113" s="67">
        <v>141.323</v>
      </c>
      <c r="N113" s="67">
        <v>187.372</v>
      </c>
      <c r="O113" s="67">
        <v>148.913</v>
      </c>
      <c r="P113" s="67">
        <v>229.712</v>
      </c>
      <c r="Q113" s="67">
        <v>136.901</v>
      </c>
      <c r="R113" s="67">
        <v>126.093</v>
      </c>
      <c r="S113" s="67">
        <v>137.239</v>
      </c>
      <c r="T113" s="67">
        <v>289.529</v>
      </c>
      <c r="U113" s="67">
        <v>38.148</v>
      </c>
      <c r="V113" s="67">
        <v>218.895</v>
      </c>
    </row>
    <row r="114">
      <c r="D114" s="66">
        <v>58.0</v>
      </c>
      <c r="E114" s="67">
        <v>70.414</v>
      </c>
      <c r="F114" s="67">
        <v>235.367</v>
      </c>
      <c r="G114" s="67">
        <v>9.458</v>
      </c>
      <c r="H114" s="67">
        <v>31.483</v>
      </c>
      <c r="I114" s="67">
        <v>16.392</v>
      </c>
      <c r="J114" s="67">
        <v>29.463</v>
      </c>
      <c r="K114" s="67">
        <v>21.872</v>
      </c>
      <c r="L114" s="67">
        <v>33.272</v>
      </c>
      <c r="M114" s="67">
        <v>142.478</v>
      </c>
      <c r="N114" s="67">
        <v>176.392</v>
      </c>
      <c r="O114" s="67">
        <v>140.742</v>
      </c>
      <c r="P114" s="67">
        <v>253.219</v>
      </c>
      <c r="Q114" s="67">
        <v>157.332</v>
      </c>
      <c r="R114" s="67">
        <v>126.886</v>
      </c>
      <c r="S114" s="67">
        <v>136.473</v>
      </c>
      <c r="T114" s="67">
        <v>318.495</v>
      </c>
      <c r="U114" s="67">
        <v>43.357</v>
      </c>
      <c r="V114" s="67">
        <v>223.983</v>
      </c>
    </row>
    <row r="115">
      <c r="D115" s="66">
        <v>59.0</v>
      </c>
      <c r="E115" s="67">
        <v>70.368</v>
      </c>
      <c r="F115" s="67">
        <v>253.382</v>
      </c>
      <c r="G115" s="67">
        <v>6.483</v>
      </c>
      <c r="H115" s="67">
        <v>32.284</v>
      </c>
      <c r="I115" s="67">
        <v>17.4</v>
      </c>
      <c r="J115" s="67">
        <v>27.483</v>
      </c>
      <c r="K115" s="67">
        <v>19.472</v>
      </c>
      <c r="L115" s="67">
        <v>35.382</v>
      </c>
      <c r="M115" s="67">
        <v>158.522</v>
      </c>
      <c r="N115" s="67">
        <v>314.842</v>
      </c>
      <c r="O115" s="67">
        <v>150.087</v>
      </c>
      <c r="P115" s="67">
        <v>161.403</v>
      </c>
      <c r="Q115" s="67">
        <v>137.681</v>
      </c>
      <c r="R115" s="67">
        <v>126.304</v>
      </c>
      <c r="S115" s="67">
        <v>140.088</v>
      </c>
      <c r="T115" s="67">
        <v>278.781</v>
      </c>
      <c r="U115" s="67">
        <v>47.312</v>
      </c>
      <c r="V115" s="67">
        <v>221.22</v>
      </c>
    </row>
    <row r="116">
      <c r="D116" s="66">
        <v>60.0</v>
      </c>
      <c r="E116" s="67">
        <v>62.837</v>
      </c>
      <c r="F116" s="67">
        <v>246.565</v>
      </c>
      <c r="G116" s="67">
        <v>12.881</v>
      </c>
      <c r="H116" s="67">
        <v>26.919</v>
      </c>
      <c r="I116" s="67">
        <v>17.473</v>
      </c>
      <c r="J116" s="67">
        <v>26.483</v>
      </c>
      <c r="K116" s="67">
        <v>18.472</v>
      </c>
      <c r="L116" s="67">
        <v>34.223</v>
      </c>
      <c r="M116" s="67">
        <v>133.292</v>
      </c>
      <c r="N116" s="67">
        <v>198.352</v>
      </c>
      <c r="O116" s="67">
        <v>131.869</v>
      </c>
      <c r="P116" s="67">
        <v>130.275</v>
      </c>
      <c r="Q116" s="67">
        <v>126.862</v>
      </c>
      <c r="R116" s="67">
        <v>127.211</v>
      </c>
      <c r="S116" s="67">
        <v>127.254</v>
      </c>
      <c r="T116" s="67">
        <v>303.395</v>
      </c>
      <c r="U116" s="67">
        <v>35.993</v>
      </c>
      <c r="V116" s="67">
        <v>227.807</v>
      </c>
    </row>
    <row r="117">
      <c r="D117" s="66">
        <v>61.0</v>
      </c>
      <c r="E117" s="67">
        <v>60.269</v>
      </c>
      <c r="F117" s="67">
        <v>247.67</v>
      </c>
      <c r="G117" s="67">
        <v>11.493</v>
      </c>
      <c r="H117" s="67">
        <v>24.593</v>
      </c>
      <c r="I117" s="67">
        <v>17.493</v>
      </c>
      <c r="J117" s="67">
        <v>29.4682</v>
      </c>
      <c r="K117" s="67">
        <v>20.56</v>
      </c>
      <c r="L117" s="67">
        <v>33.681</v>
      </c>
      <c r="M117" s="67">
        <v>123.881</v>
      </c>
      <c r="N117" s="67">
        <v>147.556</v>
      </c>
      <c r="O117" s="67">
        <v>135.844</v>
      </c>
      <c r="P117" s="67">
        <v>128.99</v>
      </c>
      <c r="Q117" s="67">
        <v>137.039</v>
      </c>
      <c r="R117" s="67">
        <v>127.597</v>
      </c>
      <c r="S117" s="67">
        <v>146.765</v>
      </c>
      <c r="T117" s="67">
        <v>275.356</v>
      </c>
      <c r="U117" s="67">
        <v>64.703</v>
      </c>
      <c r="V117" s="67">
        <v>254.069</v>
      </c>
    </row>
    <row r="118">
      <c r="D118" s="66">
        <v>62.0</v>
      </c>
      <c r="E118" s="67">
        <v>66.753</v>
      </c>
      <c r="F118" s="67">
        <v>262.975</v>
      </c>
      <c r="G118" s="67">
        <v>12.593</v>
      </c>
      <c r="H118" s="67">
        <v>27.483</v>
      </c>
      <c r="I118" s="67">
        <v>16.49</v>
      </c>
      <c r="J118" s="67">
        <v>29.38</v>
      </c>
      <c r="K118" s="67">
        <v>17.482</v>
      </c>
      <c r="L118" s="67">
        <v>32.167</v>
      </c>
      <c r="M118" s="67">
        <v>128.272</v>
      </c>
      <c r="N118" s="67">
        <v>147.35</v>
      </c>
      <c r="O118" s="67">
        <v>141.129</v>
      </c>
      <c r="P118" s="67">
        <v>128.23</v>
      </c>
      <c r="Q118" s="67">
        <v>139.777</v>
      </c>
      <c r="R118" s="67">
        <v>126.461</v>
      </c>
      <c r="S118" s="67">
        <v>136.499</v>
      </c>
      <c r="T118" s="67">
        <v>291.141</v>
      </c>
      <c r="U118" s="67">
        <v>64.77</v>
      </c>
      <c r="V118" s="67">
        <v>220.357</v>
      </c>
    </row>
    <row r="119">
      <c r="D119" s="66">
        <v>63.0</v>
      </c>
      <c r="E119" s="67">
        <v>60.297</v>
      </c>
      <c r="F119" s="67">
        <v>249.447</v>
      </c>
      <c r="G119" s="67">
        <v>5.395</v>
      </c>
      <c r="H119" s="67">
        <v>29.594</v>
      </c>
      <c r="I119" s="67">
        <v>15.432</v>
      </c>
      <c r="J119" s="67">
        <v>27.483</v>
      </c>
      <c r="K119" s="67">
        <v>18.382</v>
      </c>
      <c r="L119" s="67">
        <v>32.647</v>
      </c>
      <c r="M119" s="67">
        <v>129.321</v>
      </c>
      <c r="N119" s="67">
        <v>321.839</v>
      </c>
      <c r="O119" s="67">
        <v>132.567</v>
      </c>
      <c r="P119" s="67">
        <v>128.944</v>
      </c>
      <c r="Q119" s="67">
        <v>137.611</v>
      </c>
      <c r="R119" s="67">
        <v>126.492</v>
      </c>
      <c r="S119" s="67">
        <v>154.208</v>
      </c>
      <c r="T119" s="67">
        <v>458.935</v>
      </c>
      <c r="U119" s="67">
        <v>38.219</v>
      </c>
      <c r="V119" s="67">
        <v>222.85</v>
      </c>
    </row>
    <row r="120">
      <c r="D120" s="66">
        <v>64.0</v>
      </c>
      <c r="E120" s="67">
        <v>73.847</v>
      </c>
      <c r="F120" s="67">
        <v>248.423</v>
      </c>
      <c r="G120" s="67">
        <v>9.594</v>
      </c>
      <c r="H120" s="67">
        <v>30.385</v>
      </c>
      <c r="I120" s="67">
        <v>16.432</v>
      </c>
      <c r="J120" s="67">
        <v>25.439</v>
      </c>
      <c r="K120" s="67">
        <v>19.462</v>
      </c>
      <c r="L120" s="67">
        <v>37.289</v>
      </c>
      <c r="M120" s="67">
        <v>130.42</v>
      </c>
      <c r="N120" s="67">
        <v>333.272</v>
      </c>
      <c r="O120" s="67">
        <v>146.389</v>
      </c>
      <c r="P120" s="67">
        <v>277.341</v>
      </c>
      <c r="Q120" s="67">
        <v>141.556</v>
      </c>
      <c r="R120" s="67">
        <v>126.381</v>
      </c>
      <c r="S120" s="67">
        <v>138.127</v>
      </c>
      <c r="T120" s="67">
        <v>290.746</v>
      </c>
      <c r="U120" s="67">
        <v>47.803</v>
      </c>
      <c r="V120" s="67">
        <v>225.603</v>
      </c>
    </row>
    <row r="121">
      <c r="D121" s="66" t="s">
        <v>47</v>
      </c>
      <c r="E121" s="65" t="str">
        <f t="shared" ref="E121:V121" si="20">AVERAGE(E57:E120)</f>
        <v>65.4</v>
      </c>
      <c r="F121" s="65" t="str">
        <f t="shared" si="20"/>
        <v>250.5</v>
      </c>
      <c r="G121" s="65" t="str">
        <f t="shared" si="20"/>
        <v>8.3</v>
      </c>
      <c r="H121" s="65" t="str">
        <f t="shared" si="20"/>
        <v>27.8</v>
      </c>
      <c r="I121" s="65" t="str">
        <f t="shared" si="20"/>
        <v>16.4</v>
      </c>
      <c r="J121" s="65" t="str">
        <f t="shared" si="20"/>
        <v>26.6</v>
      </c>
      <c r="K121" s="65" t="str">
        <f t="shared" si="20"/>
        <v>20.0</v>
      </c>
      <c r="L121" s="65" t="str">
        <f t="shared" si="20"/>
        <v>36.8</v>
      </c>
      <c r="M121" s="65" t="str">
        <f t="shared" si="20"/>
        <v>137.6</v>
      </c>
      <c r="N121" s="65" t="str">
        <f t="shared" si="20"/>
        <v>226.0</v>
      </c>
      <c r="O121" s="65" t="str">
        <f t="shared" si="20"/>
        <v>142.0</v>
      </c>
      <c r="P121" s="65" t="str">
        <f t="shared" si="20"/>
        <v>164.1</v>
      </c>
      <c r="Q121" s="65" t="str">
        <f t="shared" si="20"/>
        <v>139.7</v>
      </c>
      <c r="R121" s="65" t="str">
        <f t="shared" si="20"/>
        <v>132.1</v>
      </c>
      <c r="S121" s="65" t="str">
        <f t="shared" si="20"/>
        <v>139.3</v>
      </c>
      <c r="T121" s="65" t="str">
        <f t="shared" si="20"/>
        <v>296.6</v>
      </c>
      <c r="U121" s="65" t="str">
        <f t="shared" si="20"/>
        <v>53.2</v>
      </c>
      <c r="V121" s="65" t="str">
        <f t="shared" si="20"/>
        <v>235.1</v>
      </c>
    </row>
    <row r="122">
      <c r="D122" s="69" t="s">
        <v>48</v>
      </c>
      <c r="E122" s="70" t="str">
        <f t="shared" ref="E122:F122" si="21">10000*64/E121</f>
        <v>9790.50799</v>
      </c>
      <c r="F122" s="70" t="str">
        <f t="shared" si="21"/>
        <v>2555.21839</v>
      </c>
      <c r="G122" s="70" t="str">
        <f t="shared" ref="G122:H122" si="22">10000*1024*64/G121</f>
        <v>79047726.74160</v>
      </c>
      <c r="H122" s="70" t="str">
        <f t="shared" si="22"/>
        <v>23583989.24009</v>
      </c>
      <c r="I122" s="70" t="str">
        <f t="shared" ref="I122:J122" si="23">1000*64*10240/I121</f>
        <v>40022977.66929</v>
      </c>
      <c r="J122" s="70" t="str">
        <f t="shared" si="23"/>
        <v>24683879.15828</v>
      </c>
      <c r="K122" s="70" t="str">
        <f t="shared" ref="K122:L122" si="24">1000*64*102400/K121</f>
        <v>327379782.50882</v>
      </c>
      <c r="L122" s="70" t="str">
        <f t="shared" si="24"/>
        <v>178142172.12366</v>
      </c>
      <c r="M122" s="70" t="str">
        <f t="shared" ref="M122:N122" si="25">1000*64*1024000/M121</f>
        <v>476231156.79450</v>
      </c>
      <c r="N122" s="70" t="str">
        <f t="shared" si="25"/>
        <v>290035920.63411</v>
      </c>
      <c r="O122" s="70" t="str">
        <f t="shared" ref="O122:P122" si="26">1000*64*10240000/O121</f>
        <v>4616297783.99648</v>
      </c>
      <c r="P122" s="70" t="str">
        <f t="shared" si="26"/>
        <v>3993685977.35095</v>
      </c>
      <c r="Q122" s="70" t="str">
        <f t="shared" ref="Q122:R122" si="27">100*64*102400000/Q121</f>
        <v>4692654525.27517</v>
      </c>
      <c r="R122" s="70" t="str">
        <f t="shared" si="27"/>
        <v>4960069838.01946</v>
      </c>
      <c r="S122" s="70" t="str">
        <f t="shared" ref="S122:T122" si="28">10*64*1024000000/S121</f>
        <v>4704582810.92021</v>
      </c>
      <c r="T122" s="70" t="str">
        <f t="shared" si="28"/>
        <v>2209315990.24832</v>
      </c>
      <c r="U122" s="70" t="str">
        <f t="shared" ref="U122:V122" si="29">1*64*10000/U121</f>
        <v>12030.44266</v>
      </c>
      <c r="V122" s="70" t="str">
        <f t="shared" si="29"/>
        <v>2722.81190</v>
      </c>
      <c r="W122" s="70" t="str">
        <f>10000*64/W121</f>
        <v>#DIV/0!</v>
      </c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</row>
    <row r="123">
      <c r="D123" s="72" t="s">
        <v>65</v>
      </c>
      <c r="E123" s="73" t="str">
        <f t="shared" ref="E123:T123" si="30">E122/1024/1024</f>
        <v>0.009</v>
      </c>
      <c r="F123" s="73" t="str">
        <f t="shared" si="30"/>
        <v>0.002</v>
      </c>
      <c r="G123" s="74" t="str">
        <f t="shared" si="30"/>
        <v>75.4</v>
      </c>
      <c r="H123" s="74" t="str">
        <f t="shared" si="30"/>
        <v>22.5</v>
      </c>
      <c r="I123" s="74" t="str">
        <f t="shared" si="30"/>
        <v>38.2</v>
      </c>
      <c r="J123" s="74" t="str">
        <f t="shared" si="30"/>
        <v>23.5</v>
      </c>
      <c r="K123" s="74" t="str">
        <f t="shared" si="30"/>
        <v>312.2</v>
      </c>
      <c r="L123" s="74" t="str">
        <f t="shared" si="30"/>
        <v>169.9</v>
      </c>
      <c r="M123" s="74" t="str">
        <f t="shared" si="30"/>
        <v>454.2</v>
      </c>
      <c r="N123" s="74" t="str">
        <f t="shared" si="30"/>
        <v>276.6</v>
      </c>
      <c r="O123" s="74" t="str">
        <f t="shared" si="30"/>
        <v>4402.4</v>
      </c>
      <c r="P123" s="74" t="str">
        <f t="shared" si="30"/>
        <v>3808.7</v>
      </c>
      <c r="Q123" s="74" t="str">
        <f t="shared" si="30"/>
        <v>4475.3</v>
      </c>
      <c r="R123" s="74" t="str">
        <f t="shared" si="30"/>
        <v>4730.3</v>
      </c>
      <c r="S123" s="74" t="str">
        <f t="shared" si="30"/>
        <v>4486.6</v>
      </c>
      <c r="T123" s="74" t="str">
        <f t="shared" si="30"/>
        <v>2107.0</v>
      </c>
      <c r="U123" s="74"/>
      <c r="V123" s="74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</row>
    <row r="124"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</row>
    <row r="125">
      <c r="C125" s="76" t="s">
        <v>64</v>
      </c>
      <c r="E125" s="76" t="s">
        <v>56</v>
      </c>
      <c r="G125" s="76" t="s">
        <v>57</v>
      </c>
      <c r="I125" s="76" t="s">
        <v>58</v>
      </c>
      <c r="K125" s="76" t="s">
        <v>59</v>
      </c>
      <c r="M125" s="76" t="s">
        <v>60</v>
      </c>
      <c r="O125" s="76" t="s">
        <v>61</v>
      </c>
      <c r="Q125" s="76" t="s">
        <v>62</v>
      </c>
      <c r="S125" s="76" t="s">
        <v>63</v>
      </c>
    </row>
    <row r="126">
      <c r="C126" s="77">
        <v>10000.0</v>
      </c>
      <c r="E126" s="77">
        <v>10000.0</v>
      </c>
      <c r="G126" s="77">
        <v>1000.0</v>
      </c>
      <c r="I126" s="77">
        <v>1000.0</v>
      </c>
      <c r="K126" s="77">
        <v>1000.0</v>
      </c>
      <c r="M126" s="77">
        <v>1000.0</v>
      </c>
      <c r="O126" s="77">
        <v>100.0</v>
      </c>
      <c r="Q126" s="77">
        <v>10.0</v>
      </c>
      <c r="S126" s="77">
        <v>1.0</v>
      </c>
    </row>
    <row r="127">
      <c r="C127" s="75" t="s">
        <v>16</v>
      </c>
      <c r="D127" s="75" t="s">
        <v>0</v>
      </c>
      <c r="E127" s="75" t="s">
        <v>16</v>
      </c>
      <c r="F127" s="75" t="s">
        <v>0</v>
      </c>
      <c r="G127" s="75" t="s">
        <v>16</v>
      </c>
      <c r="H127" s="75" t="s">
        <v>0</v>
      </c>
      <c r="I127" s="75" t="s">
        <v>16</v>
      </c>
      <c r="J127" s="75" t="s">
        <v>0</v>
      </c>
      <c r="K127" s="75" t="s">
        <v>16</v>
      </c>
      <c r="L127" s="75" t="s">
        <v>0</v>
      </c>
      <c r="M127" s="75" t="s">
        <v>16</v>
      </c>
      <c r="N127" s="75" t="s">
        <v>0</v>
      </c>
      <c r="O127" s="75" t="s">
        <v>16</v>
      </c>
      <c r="P127" s="75" t="s">
        <v>0</v>
      </c>
      <c r="Q127" s="75" t="s">
        <v>16</v>
      </c>
      <c r="R127" s="75" t="s">
        <v>0</v>
      </c>
      <c r="S127" s="75" t="s">
        <v>16</v>
      </c>
      <c r="T127" s="75" t="s">
        <v>0</v>
      </c>
    </row>
  </sheetData>
  <mergeCells count="62">
    <mergeCell ref="L15:M15"/>
    <mergeCell ref="N15:O15"/>
    <mergeCell ref="K32:L32"/>
    <mergeCell ref="I32:J32"/>
    <mergeCell ref="I33:J33"/>
    <mergeCell ref="K33:L33"/>
    <mergeCell ref="E33:F33"/>
    <mergeCell ref="G33:H33"/>
    <mergeCell ref="G32:H32"/>
    <mergeCell ref="E32:F32"/>
    <mergeCell ref="E15:F15"/>
    <mergeCell ref="U33:V33"/>
    <mergeCell ref="U32:V32"/>
    <mergeCell ref="O33:P33"/>
    <mergeCell ref="M33:N33"/>
    <mergeCell ref="Q33:R33"/>
    <mergeCell ref="S33:T33"/>
    <mergeCell ref="O32:P32"/>
    <mergeCell ref="Q32:R32"/>
    <mergeCell ref="M32:N32"/>
    <mergeCell ref="S32:T32"/>
    <mergeCell ref="G55:H55"/>
    <mergeCell ref="E55:F55"/>
    <mergeCell ref="S54:T54"/>
    <mergeCell ref="Q54:R54"/>
    <mergeCell ref="I55:J55"/>
    <mergeCell ref="K55:L55"/>
    <mergeCell ref="K54:L54"/>
    <mergeCell ref="I54:J54"/>
    <mergeCell ref="G54:H54"/>
    <mergeCell ref="E54:F54"/>
    <mergeCell ref="C2:D2"/>
    <mergeCell ref="C15:D15"/>
    <mergeCell ref="E2:F2"/>
    <mergeCell ref="G2:H2"/>
    <mergeCell ref="I2:J2"/>
    <mergeCell ref="G126:H126"/>
    <mergeCell ref="E126:F126"/>
    <mergeCell ref="K126:L126"/>
    <mergeCell ref="K125:L125"/>
    <mergeCell ref="M125:N125"/>
    <mergeCell ref="O125:P125"/>
    <mergeCell ref="O54:P54"/>
    <mergeCell ref="O55:P55"/>
    <mergeCell ref="M54:N54"/>
    <mergeCell ref="M55:N55"/>
    <mergeCell ref="E125:F125"/>
    <mergeCell ref="C125:D125"/>
    <mergeCell ref="G125:H125"/>
    <mergeCell ref="I126:J126"/>
    <mergeCell ref="M126:N126"/>
    <mergeCell ref="C126:D126"/>
    <mergeCell ref="I125:J125"/>
    <mergeCell ref="O126:P126"/>
    <mergeCell ref="Q126:R126"/>
    <mergeCell ref="S125:T125"/>
    <mergeCell ref="Q125:R125"/>
    <mergeCell ref="S126:T126"/>
    <mergeCell ref="S55:T55"/>
    <mergeCell ref="U54:V54"/>
    <mergeCell ref="U55:V55"/>
    <mergeCell ref="Q55:R5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A3" s="78" t="s">
        <v>66</v>
      </c>
      <c r="B3" s="79" t="s">
        <v>67</v>
      </c>
      <c r="C3" s="78"/>
      <c r="D3" s="78"/>
      <c r="E3" s="78"/>
      <c r="F3" s="78"/>
      <c r="G3" s="78"/>
      <c r="H3" s="78"/>
      <c r="I3" s="78"/>
      <c r="J3" s="78"/>
      <c r="K3" s="78"/>
      <c r="L3" s="78"/>
    </row>
    <row r="4">
      <c r="A4" s="80"/>
      <c r="B4" s="80"/>
      <c r="C4" s="80"/>
      <c r="D4" s="80"/>
      <c r="E4" s="80"/>
      <c r="F4" s="78"/>
      <c r="G4" s="78"/>
      <c r="H4" s="80"/>
      <c r="I4" s="80"/>
      <c r="J4" s="80"/>
      <c r="K4" s="80"/>
      <c r="L4" s="80"/>
    </row>
    <row r="5">
      <c r="A5" s="81"/>
      <c r="B5" s="82" t="s">
        <v>68</v>
      </c>
      <c r="C5" s="83"/>
      <c r="D5" s="84"/>
      <c r="E5" s="84"/>
      <c r="F5" s="78"/>
      <c r="G5" s="85"/>
      <c r="H5" s="86"/>
      <c r="I5" s="87" t="s">
        <v>69</v>
      </c>
      <c r="J5" s="88"/>
      <c r="K5" s="83"/>
      <c r="L5" s="86"/>
    </row>
    <row r="6">
      <c r="A6" s="81"/>
      <c r="B6" s="82" t="s">
        <v>70</v>
      </c>
      <c r="C6" s="88"/>
      <c r="D6" s="88"/>
      <c r="E6" s="83"/>
      <c r="F6" s="78"/>
      <c r="G6" s="85"/>
      <c r="H6" s="86"/>
      <c r="I6" s="89" t="s">
        <v>71</v>
      </c>
      <c r="J6" s="88"/>
      <c r="K6" s="83"/>
      <c r="L6" s="86"/>
    </row>
    <row r="7">
      <c r="A7" s="82"/>
      <c r="B7" s="90" t="s">
        <v>72</v>
      </c>
      <c r="C7" s="88"/>
      <c r="D7" s="88"/>
      <c r="E7" s="88"/>
      <c r="F7" s="78"/>
      <c r="G7" s="78"/>
      <c r="H7" s="80"/>
      <c r="I7" s="91" t="s">
        <v>72</v>
      </c>
      <c r="J7" s="88"/>
      <c r="K7" s="88"/>
      <c r="L7" s="88"/>
    </row>
    <row r="8">
      <c r="A8" s="92" t="s">
        <v>73</v>
      </c>
      <c r="B8" s="93" t="s">
        <v>43</v>
      </c>
      <c r="C8" s="93" t="s">
        <v>44</v>
      </c>
      <c r="D8" s="93" t="s">
        <v>45</v>
      </c>
      <c r="E8" s="93" t="s">
        <v>46</v>
      </c>
      <c r="F8" s="78"/>
      <c r="G8" s="85"/>
      <c r="H8" s="94" t="s">
        <v>73</v>
      </c>
      <c r="I8" s="94" t="s">
        <v>43</v>
      </c>
      <c r="J8" s="94" t="s">
        <v>44</v>
      </c>
      <c r="K8" s="94" t="s">
        <v>45</v>
      </c>
      <c r="L8" s="94" t="s">
        <v>46</v>
      </c>
      <c r="O8" s="27" t="s">
        <v>74</v>
      </c>
    </row>
    <row r="9">
      <c r="A9" s="95">
        <v>1.0</v>
      </c>
      <c r="B9" s="96">
        <v>2437.0</v>
      </c>
      <c r="C9" s="84"/>
      <c r="D9" s="84"/>
      <c r="E9" s="84"/>
      <c r="F9" s="78"/>
      <c r="G9" s="85"/>
      <c r="H9" s="97">
        <v>1.0</v>
      </c>
      <c r="I9" s="97">
        <v>6.664</v>
      </c>
      <c r="J9" s="86" t="s">
        <v>75</v>
      </c>
      <c r="K9" s="86" t="s">
        <v>75</v>
      </c>
      <c r="L9" s="86" t="s">
        <v>75</v>
      </c>
    </row>
    <row r="10">
      <c r="A10" s="95">
        <v>2.0</v>
      </c>
      <c r="B10" s="96">
        <v>2410.0</v>
      </c>
      <c r="C10" s="96">
        <v>2464.0</v>
      </c>
      <c r="D10" s="84"/>
      <c r="E10" s="84"/>
      <c r="F10" s="78"/>
      <c r="G10" s="85"/>
      <c r="H10" s="97">
        <v>2.0</v>
      </c>
      <c r="I10" s="97">
        <v>6.662</v>
      </c>
      <c r="J10" s="97">
        <v>6.662</v>
      </c>
      <c r="K10" s="86" t="s">
        <v>75</v>
      </c>
      <c r="L10" s="86" t="s">
        <v>75</v>
      </c>
    </row>
    <row r="11">
      <c r="A11" s="95">
        <v>4.0</v>
      </c>
      <c r="B11" s="96">
        <v>2470.0</v>
      </c>
      <c r="C11" s="96">
        <v>2547.0</v>
      </c>
      <c r="D11" s="96">
        <v>2382.0</v>
      </c>
      <c r="E11" s="96">
        <v>2445.0</v>
      </c>
      <c r="F11" s="78"/>
      <c r="G11" s="85"/>
      <c r="H11" s="97">
        <v>4.0</v>
      </c>
      <c r="I11" s="97">
        <v>7.434</v>
      </c>
      <c r="J11" s="97">
        <v>7.438</v>
      </c>
      <c r="K11" s="97">
        <v>7.182</v>
      </c>
      <c r="L11" s="97">
        <v>10.336</v>
      </c>
      <c r="M11" t="str">
        <f>AVERAGE(I11:L11)</f>
        <v>8.0975</v>
      </c>
      <c r="N11" t="str">
        <f>40000/L11</f>
        <v>3869.96904</v>
      </c>
      <c r="O11" t="str">
        <f>10000*16/L11</f>
        <v>15479.87616</v>
      </c>
      <c r="P11" t="str">
        <f>640000/15</f>
        <v>42666.66667</v>
      </c>
    </row>
    <row r="14">
      <c r="C14" s="98" t="s">
        <v>55</v>
      </c>
      <c r="D14" s="76" t="s">
        <v>56</v>
      </c>
      <c r="F14" s="76" t="s">
        <v>57</v>
      </c>
      <c r="H14" s="76" t="s">
        <v>58</v>
      </c>
      <c r="J14" s="76" t="s">
        <v>59</v>
      </c>
      <c r="L14" s="76" t="s">
        <v>60</v>
      </c>
      <c r="N14" s="76" t="s">
        <v>61</v>
      </c>
      <c r="P14" s="76" t="s">
        <v>62</v>
      </c>
      <c r="R14" s="76" t="s">
        <v>63</v>
      </c>
      <c r="T14" s="76" t="s">
        <v>64</v>
      </c>
    </row>
    <row r="15">
      <c r="C15" s="99" t="s">
        <v>52</v>
      </c>
      <c r="D15" s="77">
        <v>10000.0</v>
      </c>
      <c r="F15" s="77">
        <v>1000.0</v>
      </c>
      <c r="H15" s="77">
        <v>1000.0</v>
      </c>
      <c r="J15" s="77">
        <v>1000.0</v>
      </c>
      <c r="L15" s="77">
        <v>1000.0</v>
      </c>
      <c r="N15" s="77">
        <v>100.0</v>
      </c>
      <c r="P15" s="77">
        <v>10.0</v>
      </c>
      <c r="R15" s="77">
        <v>1.0</v>
      </c>
      <c r="T15" s="77">
        <v>10000.0</v>
      </c>
    </row>
    <row r="16">
      <c r="C16" s="100" t="s">
        <v>53</v>
      </c>
      <c r="D16" s="75" t="s">
        <v>16</v>
      </c>
      <c r="E16" s="75" t="s">
        <v>0</v>
      </c>
      <c r="F16" s="75" t="s">
        <v>16</v>
      </c>
      <c r="G16" s="75" t="s">
        <v>0</v>
      </c>
      <c r="H16" s="75" t="s">
        <v>16</v>
      </c>
      <c r="I16" s="75" t="s">
        <v>0</v>
      </c>
      <c r="J16" s="75" t="s">
        <v>16</v>
      </c>
      <c r="K16" s="75" t="s">
        <v>0</v>
      </c>
      <c r="L16" s="75" t="s">
        <v>16</v>
      </c>
      <c r="M16" s="75" t="s">
        <v>0</v>
      </c>
      <c r="N16" s="75" t="s">
        <v>16</v>
      </c>
      <c r="O16" s="75" t="s">
        <v>0</v>
      </c>
      <c r="P16" s="75" t="s">
        <v>16</v>
      </c>
      <c r="Q16" s="75" t="s">
        <v>0</v>
      </c>
      <c r="R16" s="75" t="s">
        <v>16</v>
      </c>
      <c r="S16" s="75" t="s">
        <v>0</v>
      </c>
      <c r="T16" s="75" t="s">
        <v>16</v>
      </c>
      <c r="U16" s="75" t="s">
        <v>0</v>
      </c>
    </row>
    <row r="17">
      <c r="C17" s="27">
        <v>1.0</v>
      </c>
      <c r="D17" s="27">
        <v>458.0</v>
      </c>
      <c r="E17" s="27">
        <v>7.0</v>
      </c>
      <c r="F17" s="27">
        <v>102.0</v>
      </c>
      <c r="G17" s="27">
        <v>13.0</v>
      </c>
      <c r="H17" s="27">
        <v>25.0</v>
      </c>
      <c r="I17" s="27">
        <v>10.0</v>
      </c>
      <c r="J17" s="27">
        <v>71.0</v>
      </c>
      <c r="K17" s="27">
        <v>23.0</v>
      </c>
      <c r="L17" s="27">
        <v>278.0</v>
      </c>
      <c r="M17" s="27">
        <v>205.0</v>
      </c>
      <c r="N17" s="27">
        <v>133.0</v>
      </c>
      <c r="O17" s="27">
        <v>116.0</v>
      </c>
      <c r="P17" s="27">
        <v>120.0</v>
      </c>
      <c r="Q17" s="27">
        <v>166.0</v>
      </c>
      <c r="R17" s="27">
        <v>226.0</v>
      </c>
      <c r="S17" s="27">
        <v>231.0</v>
      </c>
      <c r="T17" s="27">
        <v>344.0</v>
      </c>
      <c r="U17" s="27">
        <v>36.0</v>
      </c>
    </row>
    <row r="18">
      <c r="C18" s="27">
        <v>2.0</v>
      </c>
      <c r="D18" s="27">
        <v>301.0</v>
      </c>
      <c r="E18" s="27">
        <v>8.0</v>
      </c>
      <c r="F18" s="27">
        <v>93.0</v>
      </c>
      <c r="G18" s="27">
        <v>14.0</v>
      </c>
      <c r="H18" s="27">
        <v>24.0</v>
      </c>
      <c r="I18" s="27">
        <v>12.0</v>
      </c>
      <c r="J18" s="27">
        <v>58.0</v>
      </c>
      <c r="K18" s="27">
        <v>9.0</v>
      </c>
      <c r="L18" s="27">
        <v>273.0</v>
      </c>
      <c r="M18" s="27">
        <v>186.0</v>
      </c>
      <c r="N18" s="27">
        <v>184.0</v>
      </c>
      <c r="O18" s="27">
        <v>169.0</v>
      </c>
      <c r="P18" s="27">
        <v>116.0</v>
      </c>
      <c r="Q18" s="27">
        <v>164.0</v>
      </c>
      <c r="R18" s="27">
        <v>128.0</v>
      </c>
      <c r="S18" s="27">
        <v>281.0</v>
      </c>
      <c r="T18" s="27">
        <v>350.0</v>
      </c>
      <c r="U18" s="27">
        <v>36.0</v>
      </c>
    </row>
    <row r="19">
      <c r="C19" s="27">
        <v>3.0</v>
      </c>
      <c r="D19" s="27">
        <v>466.0</v>
      </c>
      <c r="E19" s="27">
        <v>8.0</v>
      </c>
      <c r="F19" s="27">
        <v>84.0</v>
      </c>
      <c r="G19" s="27">
        <v>14.0</v>
      </c>
      <c r="H19" s="27">
        <v>25.0</v>
      </c>
      <c r="I19" s="27">
        <v>11.0</v>
      </c>
      <c r="J19" s="27">
        <v>56.0</v>
      </c>
      <c r="K19" s="27">
        <v>10.0</v>
      </c>
      <c r="L19" s="27">
        <v>270.0</v>
      </c>
      <c r="M19" s="27">
        <v>207.0</v>
      </c>
      <c r="N19" s="27">
        <v>187.0</v>
      </c>
      <c r="O19" s="27">
        <v>167.0</v>
      </c>
      <c r="P19" s="27">
        <v>119.0</v>
      </c>
      <c r="Q19" s="27">
        <v>169.0</v>
      </c>
      <c r="R19" s="27">
        <v>235.0</v>
      </c>
      <c r="S19" s="27">
        <v>245.0</v>
      </c>
      <c r="T19" s="27">
        <v>350.0</v>
      </c>
      <c r="U19" s="27">
        <v>39.0</v>
      </c>
    </row>
    <row r="20">
      <c r="C20" s="27">
        <v>4.0</v>
      </c>
      <c r="D20" s="27">
        <v>283.0</v>
      </c>
      <c r="E20" s="27">
        <v>8.0</v>
      </c>
      <c r="F20" s="27">
        <v>93.0</v>
      </c>
      <c r="G20" s="27">
        <v>15.0</v>
      </c>
      <c r="H20" s="27">
        <v>51.0</v>
      </c>
      <c r="I20" s="27">
        <v>9.0</v>
      </c>
      <c r="J20" s="27">
        <v>36.0</v>
      </c>
      <c r="K20" s="27">
        <v>9.0</v>
      </c>
      <c r="L20" s="27">
        <v>275.0</v>
      </c>
      <c r="M20" s="27">
        <v>230.0</v>
      </c>
      <c r="N20" s="27">
        <v>132.0</v>
      </c>
      <c r="O20" s="27">
        <v>116.0</v>
      </c>
      <c r="P20" s="27">
        <v>118.0</v>
      </c>
      <c r="Q20" s="27">
        <v>165.0</v>
      </c>
      <c r="R20" s="27">
        <v>131.0</v>
      </c>
      <c r="S20" s="27">
        <v>263.0</v>
      </c>
      <c r="T20" s="27">
        <v>351.0</v>
      </c>
      <c r="U20" s="27">
        <v>37.0</v>
      </c>
    </row>
    <row r="21">
      <c r="C21" s="27">
        <v>5.0</v>
      </c>
      <c r="D21" s="27">
        <v>434.0</v>
      </c>
      <c r="E21" s="27">
        <v>8.0</v>
      </c>
      <c r="F21" s="27">
        <v>122.0</v>
      </c>
      <c r="G21" s="27">
        <v>14.0</v>
      </c>
      <c r="H21" s="27">
        <v>53.0</v>
      </c>
      <c r="I21" s="27">
        <v>9.0</v>
      </c>
      <c r="J21" s="27">
        <v>54.0</v>
      </c>
      <c r="K21" s="27">
        <v>9.0</v>
      </c>
      <c r="L21" s="27">
        <v>283.0</v>
      </c>
      <c r="M21" s="27">
        <v>166.0</v>
      </c>
      <c r="N21" s="27">
        <v>187.0</v>
      </c>
      <c r="O21" s="27">
        <v>168.0</v>
      </c>
      <c r="P21" s="27">
        <v>118.0</v>
      </c>
      <c r="Q21" s="27">
        <v>168.0</v>
      </c>
      <c r="R21" s="27">
        <v>235.0</v>
      </c>
      <c r="S21" s="27">
        <v>243.0</v>
      </c>
      <c r="T21" s="27">
        <v>349.0</v>
      </c>
      <c r="U21" s="27">
        <v>39.0</v>
      </c>
    </row>
    <row r="22">
      <c r="C22" s="27">
        <v>6.0</v>
      </c>
      <c r="D22" s="27">
        <v>480.0</v>
      </c>
      <c r="E22" s="27">
        <v>8.0</v>
      </c>
      <c r="F22" s="27">
        <v>95.0</v>
      </c>
      <c r="G22" s="27">
        <v>14.0</v>
      </c>
      <c r="H22" s="27">
        <v>52.0</v>
      </c>
      <c r="I22" s="27">
        <v>8.0</v>
      </c>
      <c r="J22" s="27">
        <v>37.0</v>
      </c>
      <c r="K22" s="27">
        <v>9.0</v>
      </c>
      <c r="L22" s="27">
        <v>279.0</v>
      </c>
      <c r="M22" s="27">
        <v>224.0</v>
      </c>
      <c r="N22" s="27">
        <v>133.0</v>
      </c>
      <c r="O22" s="27">
        <v>121.0</v>
      </c>
      <c r="P22" s="27">
        <v>117.0</v>
      </c>
      <c r="Q22" s="27">
        <v>166.0</v>
      </c>
      <c r="R22" s="27">
        <v>249.0</v>
      </c>
      <c r="S22" s="27">
        <v>283.0</v>
      </c>
      <c r="T22" s="27">
        <v>341.0</v>
      </c>
      <c r="U22" s="27">
        <v>35.0</v>
      </c>
    </row>
    <row r="23">
      <c r="C23" s="27">
        <v>7.0</v>
      </c>
      <c r="D23" s="27">
        <v>541.0</v>
      </c>
      <c r="E23" s="27">
        <v>10.0</v>
      </c>
      <c r="F23" s="27">
        <v>87.0</v>
      </c>
      <c r="G23" s="27">
        <v>13.0</v>
      </c>
      <c r="H23" s="27">
        <v>55.0</v>
      </c>
      <c r="I23" s="27">
        <v>10.0</v>
      </c>
      <c r="J23" s="27">
        <v>59.0</v>
      </c>
      <c r="K23" s="27">
        <v>10.0</v>
      </c>
      <c r="L23" s="27">
        <v>292.0</v>
      </c>
      <c r="M23" s="27">
        <v>237.0</v>
      </c>
      <c r="N23" s="27">
        <v>134.0</v>
      </c>
      <c r="O23" s="27">
        <v>184.0</v>
      </c>
      <c r="P23" s="27">
        <v>119.0</v>
      </c>
      <c r="Q23" s="27">
        <v>167.0</v>
      </c>
      <c r="R23" s="27">
        <v>130.0</v>
      </c>
      <c r="S23" s="27">
        <v>234.0</v>
      </c>
      <c r="T23" s="27">
        <v>349.0</v>
      </c>
      <c r="U23" s="27">
        <v>35.0</v>
      </c>
    </row>
    <row r="24">
      <c r="C24" s="27">
        <v>8.0</v>
      </c>
      <c r="D24" s="27">
        <v>294.0</v>
      </c>
      <c r="E24" s="27">
        <v>8.0</v>
      </c>
      <c r="F24" s="27">
        <v>118.0</v>
      </c>
      <c r="G24" s="27">
        <v>13.0</v>
      </c>
      <c r="H24" s="27">
        <v>50.0</v>
      </c>
      <c r="I24" s="27">
        <v>8.0</v>
      </c>
      <c r="J24" s="27">
        <v>54.0</v>
      </c>
      <c r="K24" s="27">
        <v>9.0</v>
      </c>
      <c r="L24" s="27">
        <v>285.0</v>
      </c>
      <c r="M24" s="27">
        <v>234.0</v>
      </c>
      <c r="N24" s="27">
        <v>133.0</v>
      </c>
      <c r="O24" s="27">
        <v>126.0</v>
      </c>
      <c r="P24" s="27">
        <v>118.0</v>
      </c>
      <c r="Q24" s="27">
        <v>166.0</v>
      </c>
      <c r="R24" s="27">
        <v>224.0</v>
      </c>
      <c r="S24" s="27">
        <v>294.0</v>
      </c>
      <c r="T24" s="27">
        <v>343.0</v>
      </c>
      <c r="U24" s="27">
        <v>37.0</v>
      </c>
    </row>
    <row r="25">
      <c r="C25" s="27">
        <v>9.0</v>
      </c>
      <c r="D25" s="27">
        <v>496.0</v>
      </c>
      <c r="E25" s="27">
        <v>8.0</v>
      </c>
      <c r="F25" s="27">
        <v>122.0</v>
      </c>
      <c r="G25" s="27">
        <v>14.0</v>
      </c>
      <c r="H25" s="27">
        <v>52.0</v>
      </c>
      <c r="I25" s="27">
        <v>11.0</v>
      </c>
      <c r="J25" s="27">
        <v>52.0</v>
      </c>
      <c r="K25" s="27">
        <v>9.0</v>
      </c>
      <c r="L25" s="27">
        <v>276.0</v>
      </c>
      <c r="M25" s="27">
        <v>239.0</v>
      </c>
      <c r="N25" s="27">
        <v>134.0</v>
      </c>
      <c r="O25" s="27">
        <v>114.0</v>
      </c>
      <c r="P25" s="27">
        <v>116.0</v>
      </c>
      <c r="Q25" s="27">
        <v>169.0</v>
      </c>
      <c r="R25" s="27">
        <v>244.0</v>
      </c>
      <c r="S25" s="27">
        <v>264.0</v>
      </c>
      <c r="T25" s="27">
        <v>343.0</v>
      </c>
      <c r="U25" s="27">
        <v>37.0</v>
      </c>
    </row>
    <row r="26">
      <c r="C26" s="27">
        <v>10.0</v>
      </c>
      <c r="D26" s="27">
        <v>441.0</v>
      </c>
      <c r="E26" s="27">
        <v>8.0</v>
      </c>
      <c r="F26" s="27">
        <v>99.0</v>
      </c>
      <c r="G26" s="27">
        <v>14.0</v>
      </c>
      <c r="H26" s="27">
        <v>15.0</v>
      </c>
      <c r="I26" s="27">
        <v>11.0</v>
      </c>
      <c r="J26" s="27">
        <v>36.0</v>
      </c>
      <c r="K26" s="27">
        <v>10.0</v>
      </c>
      <c r="L26" s="27">
        <v>234.0</v>
      </c>
      <c r="M26" s="27">
        <v>183.0</v>
      </c>
      <c r="N26" s="27">
        <v>135.0</v>
      </c>
      <c r="O26" s="27">
        <v>121.0</v>
      </c>
      <c r="P26" s="27">
        <v>117.0</v>
      </c>
      <c r="Q26" s="27">
        <v>166.0</v>
      </c>
      <c r="R26" s="27">
        <v>147.0</v>
      </c>
      <c r="S26" s="27">
        <v>287.0</v>
      </c>
      <c r="T26" s="27">
        <v>351.0</v>
      </c>
      <c r="U26" s="27">
        <v>39.0</v>
      </c>
    </row>
    <row r="27">
      <c r="C27" s="27">
        <v>11.0</v>
      </c>
      <c r="D27" s="27">
        <v>467.0</v>
      </c>
      <c r="E27" s="27">
        <v>7.0</v>
      </c>
      <c r="F27" s="27">
        <v>115.0</v>
      </c>
      <c r="G27" s="27">
        <v>13.0</v>
      </c>
      <c r="H27" s="27">
        <v>22.0</v>
      </c>
      <c r="I27" s="27">
        <v>11.0</v>
      </c>
      <c r="J27" s="27">
        <v>37.0</v>
      </c>
      <c r="K27" s="27">
        <v>10.0</v>
      </c>
      <c r="L27" s="27">
        <v>283.0</v>
      </c>
      <c r="M27" s="27">
        <v>207.0</v>
      </c>
      <c r="N27" s="27">
        <v>134.0</v>
      </c>
      <c r="O27" s="27">
        <v>108.0</v>
      </c>
      <c r="P27" s="27">
        <v>119.0</v>
      </c>
      <c r="Q27" s="27">
        <v>166.0</v>
      </c>
      <c r="R27" s="27">
        <v>245.0</v>
      </c>
      <c r="S27" s="27">
        <v>265.0</v>
      </c>
      <c r="T27" s="27">
        <v>343.0</v>
      </c>
      <c r="U27" s="27">
        <v>37.0</v>
      </c>
    </row>
    <row r="28">
      <c r="C28" s="27">
        <v>12.0</v>
      </c>
      <c r="D28" s="27">
        <v>468.0</v>
      </c>
      <c r="E28" s="27">
        <v>7.0</v>
      </c>
      <c r="F28" s="27">
        <v>125.0</v>
      </c>
      <c r="G28" s="27">
        <v>14.0</v>
      </c>
      <c r="H28" s="27">
        <v>53.0</v>
      </c>
      <c r="I28" s="27">
        <v>7.0</v>
      </c>
      <c r="J28" s="27">
        <v>50.0</v>
      </c>
      <c r="K28" s="27">
        <v>9.0</v>
      </c>
      <c r="L28" s="27">
        <v>257.0</v>
      </c>
      <c r="M28" s="27">
        <v>227.0</v>
      </c>
      <c r="N28" s="27">
        <v>192.0</v>
      </c>
      <c r="O28" s="27">
        <v>169.0</v>
      </c>
      <c r="P28" s="27">
        <v>138.0</v>
      </c>
      <c r="Q28" s="27">
        <v>164.0</v>
      </c>
      <c r="R28" s="27">
        <v>238.0</v>
      </c>
      <c r="S28" s="27">
        <v>245.0</v>
      </c>
      <c r="T28" s="27">
        <v>341.0</v>
      </c>
      <c r="U28" s="27">
        <v>38.0</v>
      </c>
    </row>
    <row r="29">
      <c r="C29" s="27">
        <v>13.0</v>
      </c>
      <c r="D29" s="27">
        <v>308.0</v>
      </c>
      <c r="E29" s="27">
        <v>8.0</v>
      </c>
      <c r="F29" s="27">
        <v>82.0</v>
      </c>
      <c r="G29" s="27">
        <v>14.0</v>
      </c>
      <c r="H29" s="27">
        <v>54.0</v>
      </c>
      <c r="I29" s="27">
        <v>11.0</v>
      </c>
      <c r="J29" s="27">
        <v>58.0</v>
      </c>
      <c r="K29" s="27">
        <v>9.0</v>
      </c>
      <c r="L29" s="27">
        <v>257.0</v>
      </c>
      <c r="M29" s="27">
        <v>229.0</v>
      </c>
      <c r="N29" s="27">
        <v>132.0</v>
      </c>
      <c r="O29" s="27">
        <v>114.0</v>
      </c>
      <c r="P29" s="27">
        <v>116.0</v>
      </c>
      <c r="Q29" s="27">
        <v>217.0</v>
      </c>
      <c r="R29" s="27">
        <v>222.0</v>
      </c>
      <c r="S29" s="27">
        <v>294.0</v>
      </c>
      <c r="T29" s="27">
        <v>311.0</v>
      </c>
      <c r="U29" s="27">
        <v>39.0</v>
      </c>
    </row>
    <row r="30">
      <c r="C30" s="27">
        <v>14.0</v>
      </c>
      <c r="D30" s="27">
        <v>484.0</v>
      </c>
      <c r="E30" s="27">
        <v>8.0</v>
      </c>
      <c r="F30" s="27">
        <v>91.0</v>
      </c>
      <c r="G30" s="27">
        <v>13.0</v>
      </c>
      <c r="H30" s="27">
        <v>22.0</v>
      </c>
      <c r="I30" s="27">
        <v>12.0</v>
      </c>
      <c r="J30" s="27">
        <v>58.0</v>
      </c>
      <c r="K30" s="27">
        <v>9.0</v>
      </c>
      <c r="L30" s="27">
        <v>231.0</v>
      </c>
      <c r="M30" s="27">
        <v>239.0</v>
      </c>
      <c r="N30" s="27">
        <v>197.0</v>
      </c>
      <c r="O30" s="27">
        <v>170.0</v>
      </c>
      <c r="P30" s="27">
        <v>119.0</v>
      </c>
      <c r="Q30" s="27">
        <v>166.0</v>
      </c>
      <c r="R30" s="27">
        <v>243.0</v>
      </c>
      <c r="S30" s="27">
        <v>246.0</v>
      </c>
      <c r="T30" s="27">
        <v>343.0</v>
      </c>
      <c r="U30" s="27">
        <v>38.0</v>
      </c>
    </row>
    <row r="31">
      <c r="C31" s="27">
        <v>15.0</v>
      </c>
      <c r="D31" s="27">
        <v>284.0</v>
      </c>
      <c r="E31" s="27">
        <v>8.0</v>
      </c>
      <c r="F31" s="27">
        <v>125.0</v>
      </c>
      <c r="G31" s="27">
        <v>14.0</v>
      </c>
      <c r="H31" s="27">
        <v>11.0</v>
      </c>
      <c r="I31" s="27">
        <v>11.0</v>
      </c>
      <c r="J31" s="27">
        <v>38.0</v>
      </c>
      <c r="K31" s="27">
        <v>10.0</v>
      </c>
      <c r="L31" s="27">
        <v>261.0</v>
      </c>
      <c r="M31" s="27">
        <v>232.0</v>
      </c>
      <c r="N31" s="27">
        <v>132.0</v>
      </c>
      <c r="O31" s="27">
        <v>111.0</v>
      </c>
      <c r="P31" s="27">
        <v>117.0</v>
      </c>
      <c r="Q31" s="27">
        <v>160.0</v>
      </c>
      <c r="R31" s="27">
        <v>241.0</v>
      </c>
      <c r="S31" s="27">
        <v>243.0</v>
      </c>
      <c r="T31" s="27">
        <v>348.0</v>
      </c>
      <c r="U31" s="27">
        <v>39.0</v>
      </c>
    </row>
    <row r="32">
      <c r="C32" s="27">
        <v>16.0</v>
      </c>
      <c r="D32" s="27">
        <v>267.0</v>
      </c>
      <c r="E32" s="27">
        <v>8.0</v>
      </c>
      <c r="F32" s="27">
        <v>124.0</v>
      </c>
      <c r="G32" s="27">
        <v>14.0</v>
      </c>
      <c r="H32" s="27">
        <v>16.0</v>
      </c>
      <c r="I32" s="27">
        <v>11.0</v>
      </c>
      <c r="J32" s="27">
        <v>36.0</v>
      </c>
      <c r="K32" s="27">
        <v>9.0</v>
      </c>
      <c r="L32" s="27">
        <v>280.0</v>
      </c>
      <c r="M32" s="27">
        <v>231.0</v>
      </c>
      <c r="N32" s="27">
        <v>134.0</v>
      </c>
      <c r="O32" s="27">
        <v>116.0</v>
      </c>
      <c r="P32" s="27">
        <v>116.0</v>
      </c>
      <c r="Q32" s="27">
        <v>168.0</v>
      </c>
      <c r="R32" s="27">
        <v>247.0</v>
      </c>
      <c r="S32" s="27">
        <v>276.0</v>
      </c>
      <c r="T32" s="27">
        <v>351.0</v>
      </c>
      <c r="U32" s="27">
        <v>39.0</v>
      </c>
    </row>
    <row r="33">
      <c r="C33" s="27">
        <v>17.0</v>
      </c>
      <c r="D33" s="27">
        <v>465.0</v>
      </c>
      <c r="E33" s="27">
        <v>9.0</v>
      </c>
      <c r="F33" s="27">
        <v>91.0</v>
      </c>
      <c r="G33" s="27">
        <v>14.0</v>
      </c>
      <c r="H33" s="27">
        <v>52.0</v>
      </c>
      <c r="I33" s="27">
        <v>8.0</v>
      </c>
      <c r="J33" s="27">
        <v>37.0</v>
      </c>
      <c r="K33" s="27">
        <v>9.0</v>
      </c>
      <c r="L33" s="27">
        <v>290.0</v>
      </c>
      <c r="M33" s="27">
        <v>224.0</v>
      </c>
      <c r="N33" s="27">
        <v>204.0</v>
      </c>
      <c r="O33" s="27">
        <v>120.0</v>
      </c>
      <c r="P33" s="27">
        <v>117.0</v>
      </c>
      <c r="Q33" s="27">
        <v>167.0</v>
      </c>
      <c r="R33" s="27">
        <v>226.0</v>
      </c>
      <c r="S33" s="27">
        <v>274.0</v>
      </c>
      <c r="T33" s="27">
        <v>337.0</v>
      </c>
      <c r="U33" s="27">
        <v>38.0</v>
      </c>
    </row>
    <row r="34">
      <c r="C34" s="27">
        <v>18.0</v>
      </c>
      <c r="D34" s="27">
        <v>467.0</v>
      </c>
      <c r="E34" s="27">
        <v>7.0</v>
      </c>
      <c r="F34" s="27">
        <v>126.0</v>
      </c>
      <c r="G34" s="27">
        <v>13.0</v>
      </c>
      <c r="H34" s="27">
        <v>53.0</v>
      </c>
      <c r="I34" s="27">
        <v>8.0</v>
      </c>
      <c r="J34" s="27">
        <v>36.0</v>
      </c>
      <c r="K34" s="27">
        <v>10.0</v>
      </c>
      <c r="L34" s="27">
        <v>262.0</v>
      </c>
      <c r="M34" s="27">
        <v>219.0</v>
      </c>
      <c r="N34" s="27">
        <v>134.0</v>
      </c>
      <c r="O34" s="27">
        <v>180.0</v>
      </c>
      <c r="P34" s="27">
        <v>121.0</v>
      </c>
      <c r="Q34" s="27">
        <v>163.0</v>
      </c>
      <c r="R34" s="27">
        <v>238.0</v>
      </c>
      <c r="S34" s="27">
        <v>274.0</v>
      </c>
      <c r="T34" s="27">
        <v>345.0</v>
      </c>
      <c r="U34" s="27">
        <v>39.0</v>
      </c>
    </row>
    <row r="35">
      <c r="C35" s="27">
        <v>19.0</v>
      </c>
      <c r="D35" s="27">
        <v>289.0</v>
      </c>
      <c r="E35" s="27">
        <v>7.0</v>
      </c>
      <c r="F35" s="27">
        <v>91.0</v>
      </c>
      <c r="G35" s="27">
        <v>14.0</v>
      </c>
      <c r="H35" s="27">
        <v>51.0</v>
      </c>
      <c r="I35" s="27">
        <v>8.0</v>
      </c>
      <c r="J35" s="27">
        <v>59.0</v>
      </c>
      <c r="K35" s="27">
        <v>9.0</v>
      </c>
      <c r="L35" s="27">
        <v>280.0</v>
      </c>
      <c r="M35" s="27">
        <v>187.0</v>
      </c>
      <c r="N35" s="27">
        <v>185.0</v>
      </c>
      <c r="O35" s="27">
        <v>121.0</v>
      </c>
      <c r="P35" s="27">
        <v>115.0</v>
      </c>
      <c r="Q35" s="27">
        <v>165.0</v>
      </c>
      <c r="R35" s="27">
        <v>245.0</v>
      </c>
      <c r="S35" s="27">
        <v>283.0</v>
      </c>
      <c r="T35" s="27">
        <v>343.0</v>
      </c>
      <c r="U35" s="27">
        <v>37.0</v>
      </c>
    </row>
    <row r="36">
      <c r="C36" s="27">
        <v>20.0</v>
      </c>
      <c r="D36" s="27">
        <v>291.0</v>
      </c>
      <c r="E36" s="27">
        <v>8.0</v>
      </c>
      <c r="F36" s="27">
        <v>98.0</v>
      </c>
      <c r="G36" s="27">
        <v>15.0</v>
      </c>
      <c r="H36" s="27">
        <v>44.0</v>
      </c>
      <c r="I36" s="27">
        <v>11.0</v>
      </c>
      <c r="J36" s="27">
        <v>36.0</v>
      </c>
      <c r="K36" s="27">
        <v>10.0</v>
      </c>
      <c r="L36" s="27">
        <v>274.0</v>
      </c>
      <c r="M36" s="27">
        <v>247.0</v>
      </c>
      <c r="N36" s="27">
        <v>187.0</v>
      </c>
      <c r="O36" s="27">
        <v>162.0</v>
      </c>
      <c r="P36" s="27">
        <v>117.0</v>
      </c>
      <c r="Q36" s="27">
        <v>162.0</v>
      </c>
      <c r="R36" s="27">
        <v>250.0</v>
      </c>
      <c r="S36" s="27">
        <v>263.0</v>
      </c>
      <c r="T36" s="27">
        <v>342.0</v>
      </c>
      <c r="U36" s="27">
        <v>36.0</v>
      </c>
    </row>
    <row r="37">
      <c r="C37" s="27">
        <v>21.0</v>
      </c>
      <c r="D37" s="27">
        <v>293.0</v>
      </c>
      <c r="E37" s="27">
        <v>8.0</v>
      </c>
      <c r="F37" s="27">
        <v>114.0</v>
      </c>
      <c r="G37" s="27">
        <v>13.0</v>
      </c>
      <c r="H37" s="27">
        <v>10.0</v>
      </c>
      <c r="I37" s="27">
        <v>11.0</v>
      </c>
      <c r="J37" s="27">
        <v>54.0</v>
      </c>
      <c r="K37" s="27">
        <v>9.0</v>
      </c>
      <c r="L37" s="27">
        <v>228.0</v>
      </c>
      <c r="M37" s="27">
        <v>200.0</v>
      </c>
      <c r="N37" s="27">
        <v>185.0</v>
      </c>
      <c r="O37" s="27">
        <v>171.0</v>
      </c>
      <c r="P37" s="27">
        <v>121.0</v>
      </c>
      <c r="Q37" s="27">
        <v>251.0</v>
      </c>
      <c r="R37" s="27">
        <v>131.0</v>
      </c>
      <c r="S37" s="27">
        <v>257.0</v>
      </c>
      <c r="T37" s="27">
        <v>338.0</v>
      </c>
      <c r="U37" s="27">
        <v>39.0</v>
      </c>
    </row>
    <row r="38">
      <c r="C38" s="27">
        <v>22.0</v>
      </c>
      <c r="D38" s="27">
        <v>293.0</v>
      </c>
      <c r="E38" s="27">
        <v>8.0</v>
      </c>
      <c r="F38" s="27">
        <v>93.0</v>
      </c>
      <c r="G38" s="27">
        <v>13.0</v>
      </c>
      <c r="H38" s="27">
        <v>10.0</v>
      </c>
      <c r="I38" s="27">
        <v>12.0</v>
      </c>
      <c r="J38" s="27">
        <v>54.0</v>
      </c>
      <c r="K38" s="27">
        <v>10.0</v>
      </c>
      <c r="L38" s="27">
        <v>271.0</v>
      </c>
      <c r="M38" s="27">
        <v>210.0</v>
      </c>
      <c r="N38" s="27">
        <v>132.0</v>
      </c>
      <c r="O38" s="27">
        <v>178.0</v>
      </c>
      <c r="P38" s="27">
        <v>117.0</v>
      </c>
      <c r="Q38" s="27">
        <v>169.0</v>
      </c>
      <c r="R38" s="27">
        <v>131.0</v>
      </c>
      <c r="S38" s="27">
        <v>275.0</v>
      </c>
      <c r="T38" s="27">
        <v>344.0</v>
      </c>
      <c r="U38" s="27">
        <v>35.0</v>
      </c>
    </row>
    <row r="39">
      <c r="C39" s="27">
        <v>23.0</v>
      </c>
      <c r="D39" s="27">
        <v>294.0</v>
      </c>
      <c r="E39" s="27">
        <v>8.0</v>
      </c>
      <c r="F39" s="27">
        <v>99.0</v>
      </c>
      <c r="G39" s="27">
        <v>14.0</v>
      </c>
      <c r="H39" s="27">
        <v>54.0</v>
      </c>
      <c r="I39" s="27">
        <v>6.0</v>
      </c>
      <c r="J39" s="27">
        <v>54.0</v>
      </c>
      <c r="K39" s="27">
        <v>9.0</v>
      </c>
      <c r="L39" s="27">
        <v>277.0</v>
      </c>
      <c r="M39" s="27">
        <v>225.0</v>
      </c>
      <c r="N39" s="27">
        <v>190.0</v>
      </c>
      <c r="O39" s="27">
        <v>119.0</v>
      </c>
      <c r="P39" s="27">
        <v>120.0</v>
      </c>
      <c r="Q39" s="27">
        <v>165.0</v>
      </c>
      <c r="R39" s="27">
        <v>139.0</v>
      </c>
      <c r="S39" s="27">
        <v>293.0</v>
      </c>
      <c r="T39" s="27">
        <v>351.0</v>
      </c>
      <c r="U39" s="27">
        <v>37.0</v>
      </c>
    </row>
    <row r="40">
      <c r="C40" s="27">
        <v>24.0</v>
      </c>
      <c r="D40" s="27">
        <v>350.0</v>
      </c>
      <c r="E40" s="27">
        <v>8.0</v>
      </c>
      <c r="F40" s="27">
        <v>122.0</v>
      </c>
      <c r="G40" s="27">
        <v>15.0</v>
      </c>
      <c r="H40" s="27">
        <v>12.0</v>
      </c>
      <c r="I40" s="27">
        <v>12.0</v>
      </c>
      <c r="J40" s="27">
        <v>41.0</v>
      </c>
      <c r="K40" s="27">
        <v>10.0</v>
      </c>
      <c r="L40" s="27">
        <v>286.0</v>
      </c>
      <c r="M40" s="27">
        <v>222.0</v>
      </c>
      <c r="N40" s="27">
        <v>199.0</v>
      </c>
      <c r="O40" s="27">
        <v>166.0</v>
      </c>
      <c r="P40" s="27">
        <v>120.0</v>
      </c>
      <c r="Q40" s="27">
        <v>171.0</v>
      </c>
      <c r="R40" s="27">
        <v>131.0</v>
      </c>
      <c r="S40" s="27">
        <v>243.0</v>
      </c>
      <c r="T40" s="27">
        <v>351.0</v>
      </c>
      <c r="U40" s="27">
        <v>39.0</v>
      </c>
    </row>
    <row r="41">
      <c r="C41" s="27">
        <v>25.0</v>
      </c>
      <c r="D41" s="27">
        <v>342.0</v>
      </c>
      <c r="E41" s="27">
        <v>7.0</v>
      </c>
      <c r="F41" s="27">
        <v>124.0</v>
      </c>
      <c r="G41" s="27">
        <v>15.0</v>
      </c>
      <c r="H41" s="27">
        <v>53.0</v>
      </c>
      <c r="I41" s="27">
        <v>9.0</v>
      </c>
      <c r="J41" s="27">
        <v>37.0</v>
      </c>
      <c r="K41" s="27">
        <v>9.0</v>
      </c>
      <c r="L41" s="27">
        <v>285.0</v>
      </c>
      <c r="M41" s="27">
        <v>276.0</v>
      </c>
      <c r="N41" s="27">
        <v>133.0</v>
      </c>
      <c r="O41" s="27">
        <v>174.0</v>
      </c>
      <c r="P41" s="27">
        <v>131.0</v>
      </c>
      <c r="Q41" s="27">
        <v>167.0</v>
      </c>
      <c r="R41" s="27">
        <v>131.0</v>
      </c>
      <c r="S41" s="27">
        <v>267.0</v>
      </c>
      <c r="T41" s="27">
        <v>351.0</v>
      </c>
      <c r="U41" s="27">
        <v>35.0</v>
      </c>
    </row>
    <row r="42">
      <c r="C42" s="27">
        <v>26.0</v>
      </c>
      <c r="D42" s="27">
        <v>287.0</v>
      </c>
      <c r="E42" s="27">
        <v>9.0</v>
      </c>
      <c r="F42" s="27">
        <v>93.0</v>
      </c>
      <c r="G42" s="27">
        <v>14.0</v>
      </c>
      <c r="H42" s="27">
        <v>54.0</v>
      </c>
      <c r="I42" s="27">
        <v>9.0</v>
      </c>
      <c r="J42" s="27">
        <v>40.0</v>
      </c>
      <c r="K42" s="27">
        <v>9.0</v>
      </c>
      <c r="L42" s="27">
        <v>295.0</v>
      </c>
      <c r="M42" s="27">
        <v>227.0</v>
      </c>
      <c r="N42" s="27">
        <v>135.0</v>
      </c>
      <c r="O42" s="27">
        <v>111.0</v>
      </c>
      <c r="P42" s="27">
        <v>119.0</v>
      </c>
      <c r="Q42" s="27">
        <v>163.0</v>
      </c>
      <c r="R42" s="27">
        <v>116.0</v>
      </c>
      <c r="S42" s="27">
        <v>285.0</v>
      </c>
      <c r="T42" s="27">
        <v>340.0</v>
      </c>
      <c r="U42" s="27">
        <v>37.0</v>
      </c>
    </row>
    <row r="43">
      <c r="C43" s="27">
        <v>27.0</v>
      </c>
      <c r="D43" s="27">
        <v>302.0</v>
      </c>
      <c r="E43" s="27">
        <v>8.0</v>
      </c>
      <c r="F43" s="27">
        <v>97.0</v>
      </c>
      <c r="G43" s="27">
        <v>14.0</v>
      </c>
      <c r="H43" s="27">
        <v>24.0</v>
      </c>
      <c r="I43" s="27">
        <v>11.0</v>
      </c>
      <c r="J43" s="27">
        <v>37.0</v>
      </c>
      <c r="K43" s="27">
        <v>10.0</v>
      </c>
      <c r="L43" s="27">
        <v>266.0</v>
      </c>
      <c r="M43" s="27">
        <v>199.0</v>
      </c>
      <c r="N43" s="27">
        <v>174.0</v>
      </c>
      <c r="O43" s="27">
        <v>115.0</v>
      </c>
      <c r="P43" s="27">
        <v>118.0</v>
      </c>
      <c r="Q43" s="27">
        <v>166.0</v>
      </c>
      <c r="R43" s="27">
        <v>223.0</v>
      </c>
      <c r="S43" s="27">
        <v>264.0</v>
      </c>
      <c r="T43" s="27">
        <v>335.0</v>
      </c>
      <c r="U43" s="27">
        <v>38.0</v>
      </c>
    </row>
    <row r="44">
      <c r="C44" s="27">
        <v>28.0</v>
      </c>
      <c r="D44" s="27">
        <v>321.0</v>
      </c>
      <c r="E44" s="27">
        <v>8.0</v>
      </c>
      <c r="F44" s="27">
        <v>123.0</v>
      </c>
      <c r="G44" s="27">
        <v>14.0</v>
      </c>
      <c r="H44" s="27">
        <v>20.0</v>
      </c>
      <c r="I44" s="27">
        <v>11.0</v>
      </c>
      <c r="J44" s="27">
        <v>36.0</v>
      </c>
      <c r="K44" s="27">
        <v>9.0</v>
      </c>
      <c r="L44" s="27">
        <v>278.0</v>
      </c>
      <c r="M44" s="27">
        <v>195.0</v>
      </c>
      <c r="N44" s="27">
        <v>134.0</v>
      </c>
      <c r="O44" s="27">
        <v>153.0</v>
      </c>
      <c r="P44" s="27">
        <v>119.0</v>
      </c>
      <c r="Q44" s="27">
        <v>172.0</v>
      </c>
      <c r="R44" s="27">
        <v>245.0</v>
      </c>
      <c r="S44" s="27">
        <v>274.0</v>
      </c>
      <c r="T44" s="27">
        <v>336.0</v>
      </c>
      <c r="U44" s="27">
        <v>38.0</v>
      </c>
    </row>
    <row r="45">
      <c r="C45" s="27">
        <v>29.0</v>
      </c>
      <c r="D45" s="27">
        <v>342.0</v>
      </c>
      <c r="E45" s="27">
        <v>7.0</v>
      </c>
      <c r="F45" s="27">
        <v>91.0</v>
      </c>
      <c r="G45" s="27">
        <v>13.0</v>
      </c>
      <c r="H45" s="27">
        <v>51.0</v>
      </c>
      <c r="I45" s="27">
        <v>8.0</v>
      </c>
      <c r="J45" s="27">
        <v>38.0</v>
      </c>
      <c r="K45" s="27">
        <v>9.0</v>
      </c>
      <c r="L45" s="27">
        <v>291.0</v>
      </c>
      <c r="M45" s="27">
        <v>228.0</v>
      </c>
      <c r="N45" s="27">
        <v>134.0</v>
      </c>
      <c r="O45" s="27">
        <v>112.0</v>
      </c>
      <c r="P45" s="27">
        <v>117.0</v>
      </c>
      <c r="Q45" s="27">
        <v>170.0</v>
      </c>
      <c r="R45" s="27">
        <v>131.0</v>
      </c>
      <c r="S45" s="27">
        <v>286.0</v>
      </c>
      <c r="T45" s="27">
        <v>341.0</v>
      </c>
      <c r="U45" s="27">
        <v>39.0</v>
      </c>
    </row>
    <row r="46">
      <c r="C46" s="27">
        <v>30.0</v>
      </c>
      <c r="D46" s="27">
        <v>470.0</v>
      </c>
      <c r="E46" s="27">
        <v>8.0</v>
      </c>
      <c r="F46" s="27">
        <v>122.0</v>
      </c>
      <c r="G46" s="27">
        <v>13.0</v>
      </c>
      <c r="H46" s="27">
        <v>35.0</v>
      </c>
      <c r="I46" s="27">
        <v>11.0</v>
      </c>
      <c r="J46" s="27">
        <v>39.0</v>
      </c>
      <c r="K46" s="27">
        <v>10.0</v>
      </c>
      <c r="L46" s="27">
        <v>282.0</v>
      </c>
      <c r="M46" s="27">
        <v>230.0</v>
      </c>
      <c r="N46" s="27">
        <v>134.0</v>
      </c>
      <c r="O46" s="27">
        <v>118.0</v>
      </c>
      <c r="P46" s="27">
        <v>117.0</v>
      </c>
      <c r="Q46" s="27">
        <v>172.0</v>
      </c>
      <c r="R46" s="27">
        <v>232.0</v>
      </c>
      <c r="S46" s="27">
        <v>294.0</v>
      </c>
      <c r="T46" s="27">
        <v>337.0</v>
      </c>
      <c r="U46" s="27">
        <v>36.0</v>
      </c>
    </row>
    <row r="47">
      <c r="C47" s="27">
        <v>31.0</v>
      </c>
      <c r="D47" s="27">
        <v>387.0</v>
      </c>
      <c r="E47" s="27">
        <v>8.0</v>
      </c>
      <c r="F47" s="27">
        <v>96.0</v>
      </c>
      <c r="G47" s="27">
        <v>15.0</v>
      </c>
      <c r="H47" s="27">
        <v>27.0</v>
      </c>
      <c r="I47" s="27">
        <v>11.0</v>
      </c>
      <c r="J47" s="27">
        <v>59.0</v>
      </c>
      <c r="K47" s="27">
        <v>8.0</v>
      </c>
      <c r="L47" s="27">
        <v>298.0</v>
      </c>
      <c r="M47" s="27">
        <v>101.0</v>
      </c>
      <c r="N47" s="27">
        <v>132.0</v>
      </c>
      <c r="O47" s="27">
        <v>120.0</v>
      </c>
      <c r="P47" s="27">
        <v>116.0</v>
      </c>
      <c r="Q47" s="27">
        <v>166.0</v>
      </c>
      <c r="R47" s="27">
        <v>240.0</v>
      </c>
      <c r="S47" s="27">
        <v>263.0</v>
      </c>
      <c r="T47" s="27">
        <v>349.0</v>
      </c>
      <c r="U47" s="27">
        <v>37.0</v>
      </c>
    </row>
    <row r="48">
      <c r="C48" s="27">
        <v>32.0</v>
      </c>
      <c r="D48" s="27">
        <v>375.0</v>
      </c>
      <c r="E48" s="27">
        <v>7.0</v>
      </c>
      <c r="F48" s="27">
        <v>124.0</v>
      </c>
      <c r="G48" s="27">
        <v>14.0</v>
      </c>
      <c r="H48" s="27">
        <v>45.0</v>
      </c>
      <c r="I48" s="27">
        <v>8.0</v>
      </c>
      <c r="J48" s="27">
        <v>55.0</v>
      </c>
      <c r="K48" s="27">
        <v>9.0</v>
      </c>
      <c r="L48" s="27">
        <v>296.0</v>
      </c>
      <c r="M48" s="27">
        <v>244.0</v>
      </c>
      <c r="N48" s="27">
        <v>133.0</v>
      </c>
      <c r="O48" s="27">
        <v>111.0</v>
      </c>
      <c r="P48" s="27">
        <v>121.0</v>
      </c>
      <c r="Q48" s="27">
        <v>169.0</v>
      </c>
      <c r="R48" s="27">
        <v>132.0</v>
      </c>
      <c r="S48" s="27">
        <v>266.0</v>
      </c>
      <c r="T48" s="27">
        <v>342.0</v>
      </c>
      <c r="U48" s="27">
        <v>38.0</v>
      </c>
    </row>
    <row r="49">
      <c r="C49" s="27">
        <v>33.0</v>
      </c>
      <c r="D49" s="27">
        <v>395.0</v>
      </c>
      <c r="E49" s="27">
        <v>7.0</v>
      </c>
      <c r="F49" s="27">
        <v>96.0</v>
      </c>
      <c r="G49" s="27">
        <v>14.0</v>
      </c>
      <c r="H49" s="27">
        <v>51.0</v>
      </c>
      <c r="I49" s="27">
        <v>8.0</v>
      </c>
      <c r="J49" s="27">
        <v>38.0</v>
      </c>
      <c r="K49" s="27">
        <v>9.0</v>
      </c>
      <c r="L49" s="27">
        <v>203.0</v>
      </c>
      <c r="M49" s="27">
        <v>216.0</v>
      </c>
      <c r="N49" s="27">
        <v>185.0</v>
      </c>
      <c r="O49" s="27">
        <v>118.0</v>
      </c>
      <c r="P49" s="27">
        <v>119.0</v>
      </c>
      <c r="Q49" s="27">
        <v>167.0</v>
      </c>
      <c r="R49" s="27">
        <v>131.0</v>
      </c>
      <c r="S49" s="27">
        <v>271.0</v>
      </c>
      <c r="T49" s="27">
        <v>348.0</v>
      </c>
      <c r="U49" s="27">
        <v>39.0</v>
      </c>
    </row>
    <row r="50">
      <c r="C50" s="27">
        <v>34.0</v>
      </c>
      <c r="D50" s="27">
        <v>376.0</v>
      </c>
      <c r="E50" s="27">
        <v>7.0</v>
      </c>
      <c r="F50" s="27">
        <v>122.0</v>
      </c>
      <c r="G50" s="27">
        <v>14.0</v>
      </c>
      <c r="H50" s="27">
        <v>53.0</v>
      </c>
      <c r="I50" s="27">
        <v>10.0</v>
      </c>
      <c r="J50" s="27">
        <v>59.0</v>
      </c>
      <c r="K50" s="27">
        <v>9.0</v>
      </c>
      <c r="L50" s="27">
        <v>281.0</v>
      </c>
      <c r="M50" s="27">
        <v>241.0</v>
      </c>
      <c r="N50" s="27">
        <v>134.0</v>
      </c>
      <c r="O50" s="27">
        <v>173.0</v>
      </c>
      <c r="P50" s="27">
        <v>119.0</v>
      </c>
      <c r="Q50" s="27">
        <v>173.0</v>
      </c>
      <c r="R50" s="27">
        <v>126.0</v>
      </c>
      <c r="S50" s="27">
        <v>278.0</v>
      </c>
      <c r="T50" s="27">
        <v>350.0</v>
      </c>
      <c r="U50" s="27">
        <v>36.0</v>
      </c>
    </row>
    <row r="51">
      <c r="C51" s="27">
        <v>35.0</v>
      </c>
      <c r="D51" s="27">
        <v>368.0</v>
      </c>
      <c r="E51" s="27">
        <v>8.0</v>
      </c>
      <c r="F51" s="27">
        <v>123.0</v>
      </c>
      <c r="G51" s="27">
        <v>13.0</v>
      </c>
      <c r="H51" s="27">
        <v>54.0</v>
      </c>
      <c r="I51" s="27">
        <v>9.0</v>
      </c>
      <c r="J51" s="27">
        <v>49.0</v>
      </c>
      <c r="K51" s="27">
        <v>10.0</v>
      </c>
      <c r="L51" s="27">
        <v>280.0</v>
      </c>
      <c r="M51" s="27">
        <v>239.0</v>
      </c>
      <c r="N51" s="27">
        <v>133.0</v>
      </c>
      <c r="O51" s="27">
        <v>111.0</v>
      </c>
      <c r="P51" s="27">
        <v>121.0</v>
      </c>
      <c r="Q51" s="27">
        <v>166.0</v>
      </c>
      <c r="R51" s="27">
        <v>131.0</v>
      </c>
      <c r="S51" s="27">
        <v>277.0</v>
      </c>
      <c r="T51" s="27">
        <v>342.0</v>
      </c>
      <c r="U51" s="27">
        <v>35.0</v>
      </c>
    </row>
    <row r="52">
      <c r="C52" s="27">
        <v>36.0</v>
      </c>
      <c r="D52" s="27">
        <v>410.0</v>
      </c>
      <c r="E52" s="27">
        <v>6.0</v>
      </c>
      <c r="F52" s="27">
        <v>95.0</v>
      </c>
      <c r="G52" s="27">
        <v>13.0</v>
      </c>
      <c r="H52" s="27">
        <v>53.0</v>
      </c>
      <c r="I52" s="27">
        <v>9.0</v>
      </c>
      <c r="J52" s="27">
        <v>53.0</v>
      </c>
      <c r="K52" s="27">
        <v>8.0</v>
      </c>
      <c r="L52" s="27">
        <v>296.0</v>
      </c>
      <c r="M52" s="27">
        <v>192.0</v>
      </c>
      <c r="N52" s="27">
        <v>196.0</v>
      </c>
      <c r="O52" s="27">
        <v>114.0</v>
      </c>
      <c r="P52" s="27">
        <v>118.0</v>
      </c>
      <c r="Q52" s="27">
        <v>185.0</v>
      </c>
      <c r="R52" s="27">
        <v>244.0</v>
      </c>
      <c r="S52" s="27">
        <v>263.0</v>
      </c>
      <c r="T52" s="27">
        <v>352.0</v>
      </c>
      <c r="U52" s="27">
        <v>37.0</v>
      </c>
    </row>
    <row r="53">
      <c r="C53" s="27">
        <v>37.0</v>
      </c>
      <c r="D53" s="27">
        <v>411.0</v>
      </c>
      <c r="E53" s="27">
        <v>9.0</v>
      </c>
      <c r="F53" s="27">
        <v>96.0</v>
      </c>
      <c r="G53" s="27">
        <v>13.0</v>
      </c>
      <c r="H53" s="27">
        <v>50.0</v>
      </c>
      <c r="I53" s="27">
        <v>8.0</v>
      </c>
      <c r="J53" s="27">
        <v>37.0</v>
      </c>
      <c r="K53" s="27">
        <v>9.0</v>
      </c>
      <c r="L53" s="27">
        <v>150.0</v>
      </c>
      <c r="M53" s="27">
        <v>195.0</v>
      </c>
      <c r="N53" s="101">
        <v>132.0</v>
      </c>
      <c r="O53" s="27">
        <v>179.0</v>
      </c>
      <c r="P53" s="27">
        <v>117.0</v>
      </c>
      <c r="Q53" s="27">
        <v>165.0</v>
      </c>
      <c r="R53" s="27">
        <v>129.0</v>
      </c>
      <c r="S53" s="27">
        <v>269.0</v>
      </c>
      <c r="T53" s="27">
        <v>343.0</v>
      </c>
      <c r="U53" s="27">
        <v>38.0</v>
      </c>
    </row>
    <row r="54">
      <c r="C54" s="27">
        <v>38.0</v>
      </c>
      <c r="D54" s="27">
        <v>482.0</v>
      </c>
      <c r="E54" s="27">
        <v>7.0</v>
      </c>
      <c r="F54" s="27">
        <v>127.0</v>
      </c>
      <c r="G54" s="27">
        <v>14.0</v>
      </c>
      <c r="H54" s="27">
        <v>25.0</v>
      </c>
      <c r="I54" s="27">
        <v>11.0</v>
      </c>
      <c r="J54" s="27">
        <v>37.0</v>
      </c>
      <c r="K54" s="27">
        <v>10.0</v>
      </c>
      <c r="L54" s="27">
        <v>283.0</v>
      </c>
      <c r="M54" s="27">
        <v>213.0</v>
      </c>
      <c r="N54" s="27">
        <v>150.0</v>
      </c>
      <c r="O54" s="27">
        <v>114.0</v>
      </c>
      <c r="P54" s="27">
        <v>117.0</v>
      </c>
      <c r="Q54" s="27">
        <v>163.0</v>
      </c>
      <c r="R54" s="27">
        <v>243.0</v>
      </c>
      <c r="S54" s="27">
        <v>264.0</v>
      </c>
      <c r="T54" s="27">
        <v>349.0</v>
      </c>
      <c r="U54" s="27">
        <v>39.0</v>
      </c>
    </row>
    <row r="55">
      <c r="C55" s="27">
        <v>39.0</v>
      </c>
      <c r="D55" s="27">
        <v>398.0</v>
      </c>
      <c r="E55" s="27">
        <v>8.0</v>
      </c>
      <c r="F55" s="27">
        <v>90.0</v>
      </c>
      <c r="G55" s="27">
        <v>14.0</v>
      </c>
      <c r="H55" s="27">
        <v>52.0</v>
      </c>
      <c r="I55" s="27">
        <v>9.0</v>
      </c>
      <c r="J55" s="27">
        <v>59.0</v>
      </c>
      <c r="K55" s="27">
        <v>10.0</v>
      </c>
      <c r="L55" s="27">
        <v>152.0</v>
      </c>
      <c r="M55" s="27">
        <v>228.0</v>
      </c>
      <c r="N55" s="27">
        <v>133.0</v>
      </c>
      <c r="O55" s="27">
        <v>136.0</v>
      </c>
      <c r="P55" s="27">
        <v>115.0</v>
      </c>
      <c r="Q55" s="27">
        <v>164.0</v>
      </c>
      <c r="R55" s="27">
        <v>131.0</v>
      </c>
      <c r="S55" s="27">
        <v>265.0</v>
      </c>
      <c r="T55" s="27">
        <v>343.0</v>
      </c>
      <c r="U55" s="27">
        <v>39.0</v>
      </c>
    </row>
    <row r="56">
      <c r="C56" s="27">
        <v>40.0</v>
      </c>
      <c r="D56" s="27">
        <v>397.0</v>
      </c>
      <c r="E56" s="27">
        <v>7.0</v>
      </c>
      <c r="F56" s="27">
        <v>120.0</v>
      </c>
      <c r="G56" s="27">
        <v>13.0</v>
      </c>
      <c r="H56" s="27">
        <v>53.0</v>
      </c>
      <c r="I56" s="27">
        <v>9.0</v>
      </c>
      <c r="J56" s="27">
        <v>55.0</v>
      </c>
      <c r="K56" s="27">
        <v>9.0</v>
      </c>
      <c r="L56" s="27">
        <v>272.0</v>
      </c>
      <c r="M56" s="27">
        <v>232.0</v>
      </c>
      <c r="N56" s="27">
        <v>189.0</v>
      </c>
      <c r="O56" s="27">
        <v>109.0</v>
      </c>
      <c r="P56" s="27">
        <v>116.0</v>
      </c>
      <c r="Q56" s="27">
        <v>164.0</v>
      </c>
      <c r="R56" s="27">
        <v>240.0</v>
      </c>
      <c r="S56" s="27">
        <v>254.0</v>
      </c>
      <c r="T56" s="27">
        <v>349.0</v>
      </c>
      <c r="U56" s="27">
        <v>39.0</v>
      </c>
    </row>
    <row r="57">
      <c r="C57" s="27">
        <v>41.0</v>
      </c>
      <c r="D57" s="27">
        <v>367.0</v>
      </c>
      <c r="E57" s="27">
        <v>7.0</v>
      </c>
      <c r="F57" s="27">
        <v>84.0</v>
      </c>
      <c r="G57" s="27">
        <v>14.0</v>
      </c>
      <c r="H57" s="27">
        <v>52.0</v>
      </c>
      <c r="I57" s="27">
        <v>8.0</v>
      </c>
      <c r="J57" s="27">
        <v>55.0</v>
      </c>
      <c r="K57" s="27">
        <v>9.0</v>
      </c>
      <c r="L57" s="27">
        <v>276.0</v>
      </c>
      <c r="M57" s="27">
        <v>195.0</v>
      </c>
      <c r="N57" s="27">
        <v>138.0</v>
      </c>
      <c r="O57" s="27">
        <v>162.0</v>
      </c>
      <c r="P57" s="27">
        <v>115.0</v>
      </c>
      <c r="Q57" s="27">
        <v>163.0</v>
      </c>
      <c r="R57" s="27">
        <v>132.0</v>
      </c>
      <c r="S57" s="27">
        <v>273.0</v>
      </c>
      <c r="T57" s="27">
        <v>344.0</v>
      </c>
      <c r="U57" s="27">
        <v>37.0</v>
      </c>
    </row>
    <row r="58">
      <c r="C58" s="27">
        <v>42.0</v>
      </c>
      <c r="D58" s="27">
        <v>512.0</v>
      </c>
      <c r="E58" s="27">
        <v>7.0</v>
      </c>
      <c r="F58" s="27">
        <v>96.0</v>
      </c>
      <c r="G58" s="27">
        <v>14.0</v>
      </c>
      <c r="H58" s="27">
        <v>52.0</v>
      </c>
      <c r="I58" s="27">
        <v>8.0</v>
      </c>
      <c r="J58" s="27">
        <v>58.0</v>
      </c>
      <c r="K58" s="27">
        <v>9.0</v>
      </c>
      <c r="L58" s="27">
        <v>151.0</v>
      </c>
      <c r="M58" s="27">
        <v>210.0</v>
      </c>
      <c r="N58" s="27">
        <v>132.0</v>
      </c>
      <c r="O58" s="27">
        <v>111.0</v>
      </c>
      <c r="P58" s="27">
        <v>116.0</v>
      </c>
      <c r="Q58" s="27">
        <v>224.0</v>
      </c>
      <c r="R58" s="27">
        <v>241.0</v>
      </c>
      <c r="S58" s="27">
        <v>232.0</v>
      </c>
      <c r="T58" s="27">
        <v>339.0</v>
      </c>
      <c r="U58" s="27">
        <v>38.0</v>
      </c>
    </row>
    <row r="59">
      <c r="C59" s="27">
        <v>43.0</v>
      </c>
      <c r="D59" s="27">
        <v>420.0</v>
      </c>
      <c r="E59" s="27">
        <v>7.0</v>
      </c>
      <c r="F59" s="27">
        <v>118.0</v>
      </c>
      <c r="G59" s="27">
        <v>15.0</v>
      </c>
      <c r="H59" s="27">
        <v>53.0</v>
      </c>
      <c r="I59" s="27">
        <v>8.0</v>
      </c>
      <c r="J59" s="27">
        <v>39.0</v>
      </c>
      <c r="K59" s="27">
        <v>10.0</v>
      </c>
      <c r="L59" s="27">
        <v>280.0</v>
      </c>
      <c r="M59" s="27">
        <v>226.0</v>
      </c>
      <c r="N59" s="27">
        <v>134.0</v>
      </c>
      <c r="O59" s="27">
        <v>114.0</v>
      </c>
      <c r="P59" s="27">
        <v>118.0</v>
      </c>
      <c r="Q59" s="27">
        <v>166.0</v>
      </c>
      <c r="R59" s="27">
        <v>231.0</v>
      </c>
      <c r="S59" s="27">
        <v>264.0</v>
      </c>
      <c r="T59" s="27">
        <v>338.0</v>
      </c>
      <c r="U59" s="27">
        <v>36.0</v>
      </c>
    </row>
    <row r="60">
      <c r="C60" s="27">
        <v>44.0</v>
      </c>
      <c r="D60" s="27">
        <v>444.0</v>
      </c>
      <c r="E60" s="27">
        <v>7.0</v>
      </c>
      <c r="F60" s="27">
        <v>90.0</v>
      </c>
      <c r="G60" s="27">
        <v>13.0</v>
      </c>
      <c r="H60" s="27">
        <v>51.0</v>
      </c>
      <c r="I60" s="27">
        <v>8.0</v>
      </c>
      <c r="J60" s="27">
        <v>53.0</v>
      </c>
      <c r="K60" s="27">
        <v>9.0</v>
      </c>
      <c r="L60" s="27">
        <v>282.0</v>
      </c>
      <c r="M60" s="27">
        <v>184.0</v>
      </c>
      <c r="N60" s="27">
        <v>133.0</v>
      </c>
      <c r="O60" s="27">
        <v>122.0</v>
      </c>
      <c r="P60" s="27">
        <v>119.0</v>
      </c>
      <c r="Q60" s="27">
        <v>169.0</v>
      </c>
      <c r="R60" s="27">
        <v>130.0</v>
      </c>
      <c r="S60" s="27">
        <v>283.0</v>
      </c>
      <c r="T60" s="27">
        <v>348.0</v>
      </c>
      <c r="U60" s="27">
        <v>38.0</v>
      </c>
    </row>
    <row r="61">
      <c r="C61" s="27">
        <v>45.0</v>
      </c>
      <c r="D61" s="27">
        <v>397.0</v>
      </c>
      <c r="E61" s="27">
        <v>9.0</v>
      </c>
      <c r="F61" s="27">
        <v>86.0</v>
      </c>
      <c r="G61" s="27">
        <v>13.0</v>
      </c>
      <c r="H61" s="27">
        <v>53.0</v>
      </c>
      <c r="I61" s="27">
        <v>8.0</v>
      </c>
      <c r="J61" s="27">
        <v>38.0</v>
      </c>
      <c r="K61" s="27">
        <v>9.0</v>
      </c>
      <c r="L61" s="27">
        <v>141.0</v>
      </c>
      <c r="M61" s="27">
        <v>214.0</v>
      </c>
      <c r="N61" s="27">
        <v>213.0</v>
      </c>
      <c r="O61" s="27">
        <v>113.0</v>
      </c>
      <c r="P61" s="27">
        <v>124.0</v>
      </c>
      <c r="Q61" s="27">
        <v>171.0</v>
      </c>
      <c r="R61" s="27">
        <v>240.0</v>
      </c>
      <c r="S61" s="27">
        <v>264.0</v>
      </c>
      <c r="T61" s="27">
        <v>335.0</v>
      </c>
      <c r="U61" s="27">
        <v>37.0</v>
      </c>
    </row>
    <row r="62">
      <c r="C62" s="27">
        <v>46.0</v>
      </c>
      <c r="D62" s="27">
        <v>298.0</v>
      </c>
      <c r="E62" s="27">
        <v>8.0</v>
      </c>
      <c r="F62" s="27">
        <v>100.0</v>
      </c>
      <c r="G62" s="27">
        <v>13.0</v>
      </c>
      <c r="H62" s="27">
        <v>27.0</v>
      </c>
      <c r="I62" s="27">
        <v>12.0</v>
      </c>
      <c r="J62" s="27">
        <v>31.0</v>
      </c>
      <c r="K62" s="27">
        <v>9.0</v>
      </c>
      <c r="L62" s="27">
        <v>306.0</v>
      </c>
      <c r="M62" s="27">
        <v>236.0</v>
      </c>
      <c r="N62" s="27">
        <v>134.0</v>
      </c>
      <c r="O62" s="27">
        <v>186.0</v>
      </c>
      <c r="P62" s="27">
        <v>115.0</v>
      </c>
      <c r="Q62" s="27">
        <v>168.0</v>
      </c>
      <c r="R62" s="27">
        <v>251.0</v>
      </c>
      <c r="S62" s="27">
        <v>253.0</v>
      </c>
      <c r="T62" s="27">
        <v>349.0</v>
      </c>
      <c r="U62" s="27">
        <v>37.0</v>
      </c>
    </row>
    <row r="63">
      <c r="C63" s="27">
        <v>47.0</v>
      </c>
      <c r="D63" s="27">
        <v>367.0</v>
      </c>
      <c r="E63" s="27">
        <v>7.0</v>
      </c>
      <c r="F63" s="27">
        <v>94.0</v>
      </c>
      <c r="G63" s="27">
        <v>14.0</v>
      </c>
      <c r="H63" s="27">
        <v>24.0</v>
      </c>
      <c r="I63" s="27">
        <v>11.0</v>
      </c>
      <c r="J63" s="27">
        <v>37.0</v>
      </c>
      <c r="K63" s="27">
        <v>9.0</v>
      </c>
      <c r="L63" s="27">
        <v>244.0</v>
      </c>
      <c r="M63" s="27">
        <v>215.0</v>
      </c>
      <c r="N63" s="27">
        <v>131.0</v>
      </c>
      <c r="O63" s="27">
        <v>113.0</v>
      </c>
      <c r="P63" s="27">
        <v>117.0</v>
      </c>
      <c r="Q63" s="27">
        <v>165.0</v>
      </c>
      <c r="R63" s="27">
        <v>130.0</v>
      </c>
      <c r="S63" s="27">
        <v>274.0</v>
      </c>
      <c r="T63" s="27">
        <v>345.0</v>
      </c>
      <c r="U63" s="27">
        <v>39.0</v>
      </c>
    </row>
    <row r="64">
      <c r="C64" s="27">
        <v>48.0</v>
      </c>
      <c r="D64" s="27">
        <v>438.0</v>
      </c>
      <c r="E64" s="27">
        <v>7.0</v>
      </c>
      <c r="F64" s="27">
        <v>133.0</v>
      </c>
      <c r="G64" s="27">
        <v>14.0</v>
      </c>
      <c r="H64" s="27">
        <v>52.0</v>
      </c>
      <c r="I64" s="27">
        <v>8.0</v>
      </c>
      <c r="J64" s="27">
        <v>37.0</v>
      </c>
      <c r="K64" s="27">
        <v>9.0</v>
      </c>
      <c r="L64" s="27">
        <v>144.0</v>
      </c>
      <c r="M64" s="27">
        <v>173.0</v>
      </c>
      <c r="N64" s="27">
        <v>133.0</v>
      </c>
      <c r="O64" s="27">
        <v>113.0</v>
      </c>
      <c r="P64" s="27">
        <v>119.0</v>
      </c>
      <c r="Q64" s="27">
        <v>169.0</v>
      </c>
      <c r="R64" s="27">
        <v>132.0</v>
      </c>
      <c r="S64" s="27">
        <v>262.0</v>
      </c>
      <c r="T64" s="27">
        <v>342.0</v>
      </c>
      <c r="U64" s="27">
        <v>36.0</v>
      </c>
    </row>
    <row r="65">
      <c r="C65" s="27">
        <v>49.0</v>
      </c>
      <c r="D65" s="27">
        <v>475.0</v>
      </c>
      <c r="E65" s="27">
        <v>7.0</v>
      </c>
      <c r="F65" s="27">
        <v>76.0</v>
      </c>
      <c r="G65" s="27">
        <v>13.0</v>
      </c>
      <c r="H65" s="27">
        <v>25.0</v>
      </c>
      <c r="I65" s="27">
        <v>11.0</v>
      </c>
      <c r="J65" s="27">
        <v>53.0</v>
      </c>
      <c r="K65" s="27">
        <v>9.0</v>
      </c>
      <c r="L65" s="27">
        <v>279.0</v>
      </c>
      <c r="M65" s="27">
        <v>221.0</v>
      </c>
      <c r="N65" s="27">
        <v>133.0</v>
      </c>
      <c r="O65" s="27">
        <v>114.0</v>
      </c>
      <c r="P65" s="27">
        <v>117.0</v>
      </c>
      <c r="Q65" s="27">
        <v>173.0</v>
      </c>
      <c r="R65" s="27">
        <v>132.0</v>
      </c>
      <c r="S65" s="27">
        <v>291.0</v>
      </c>
      <c r="T65" s="27">
        <v>344.0</v>
      </c>
      <c r="U65" s="27">
        <v>38.0</v>
      </c>
    </row>
    <row r="66">
      <c r="C66" s="27">
        <v>50.0</v>
      </c>
      <c r="D66" s="27">
        <v>498.0</v>
      </c>
      <c r="E66" s="27">
        <v>7.0</v>
      </c>
      <c r="F66" s="27">
        <v>96.0</v>
      </c>
      <c r="G66" s="27">
        <v>13.0</v>
      </c>
      <c r="H66" s="27">
        <v>53.0</v>
      </c>
      <c r="I66" s="27">
        <v>9.0</v>
      </c>
      <c r="J66" s="27">
        <v>37.0</v>
      </c>
      <c r="K66" s="27">
        <v>9.0</v>
      </c>
      <c r="L66" s="27">
        <v>290.0</v>
      </c>
      <c r="M66" s="27">
        <v>187.0</v>
      </c>
      <c r="N66" s="27">
        <v>133.0</v>
      </c>
      <c r="O66" s="27">
        <v>120.0</v>
      </c>
      <c r="P66" s="27">
        <v>116.0</v>
      </c>
      <c r="Q66" s="27">
        <v>164.0</v>
      </c>
      <c r="R66" s="27">
        <v>236.0</v>
      </c>
      <c r="S66" s="27">
        <v>273.0</v>
      </c>
      <c r="T66" s="27">
        <v>333.0</v>
      </c>
      <c r="U66" s="27">
        <v>36.0</v>
      </c>
    </row>
    <row r="67">
      <c r="C67" s="27">
        <v>51.0</v>
      </c>
      <c r="D67" s="27">
        <v>465.0</v>
      </c>
      <c r="E67" s="27">
        <v>8.0</v>
      </c>
      <c r="F67" s="27">
        <v>127.0</v>
      </c>
      <c r="G67" s="27">
        <v>13.0</v>
      </c>
      <c r="H67" s="27">
        <v>32.0</v>
      </c>
      <c r="I67" s="27">
        <v>10.0</v>
      </c>
      <c r="J67" s="27">
        <v>51.0</v>
      </c>
      <c r="K67" s="27">
        <v>9.0</v>
      </c>
      <c r="L67" s="27">
        <v>283.0</v>
      </c>
      <c r="M67" s="27">
        <v>160.0</v>
      </c>
      <c r="N67" s="27">
        <v>186.0</v>
      </c>
      <c r="O67" s="27">
        <v>116.0</v>
      </c>
      <c r="P67" s="27">
        <v>125.0</v>
      </c>
      <c r="Q67" s="27">
        <v>165.0</v>
      </c>
      <c r="R67" s="27">
        <v>245.0</v>
      </c>
      <c r="S67" s="27">
        <v>263.0</v>
      </c>
      <c r="T67" s="27">
        <v>345.0</v>
      </c>
      <c r="U67" s="27">
        <v>35.0</v>
      </c>
    </row>
    <row r="68">
      <c r="C68" s="27">
        <v>52.0</v>
      </c>
      <c r="D68" s="27">
        <v>320.0</v>
      </c>
      <c r="E68" s="27">
        <v>7.0</v>
      </c>
      <c r="F68" s="27">
        <v>125.0</v>
      </c>
      <c r="G68" s="27">
        <v>14.0</v>
      </c>
      <c r="H68" s="27">
        <v>52.0</v>
      </c>
      <c r="I68" s="27">
        <v>10.0</v>
      </c>
      <c r="J68" s="27">
        <v>53.0</v>
      </c>
      <c r="K68" s="27">
        <v>10.0</v>
      </c>
      <c r="L68" s="27">
        <v>292.0</v>
      </c>
      <c r="M68" s="27">
        <v>226.0</v>
      </c>
      <c r="N68" s="27">
        <v>131.0</v>
      </c>
      <c r="O68" s="27">
        <v>178.0</v>
      </c>
      <c r="P68" s="27">
        <v>117.0</v>
      </c>
      <c r="Q68" s="27">
        <v>165.0</v>
      </c>
      <c r="R68" s="27">
        <v>241.0</v>
      </c>
      <c r="S68" s="27">
        <v>238.0</v>
      </c>
      <c r="T68" s="27">
        <v>351.0</v>
      </c>
      <c r="U68" s="27">
        <v>37.0</v>
      </c>
    </row>
    <row r="69">
      <c r="C69" s="27">
        <v>53.0</v>
      </c>
      <c r="D69" s="27">
        <v>543.0</v>
      </c>
      <c r="E69" s="27">
        <v>6.0</v>
      </c>
      <c r="F69" s="27">
        <v>96.0</v>
      </c>
      <c r="G69" s="27">
        <v>14.0</v>
      </c>
      <c r="H69" s="27">
        <v>29.0</v>
      </c>
      <c r="I69" s="27">
        <v>11.0</v>
      </c>
      <c r="J69" s="27">
        <v>38.0</v>
      </c>
      <c r="K69" s="27">
        <v>9.0</v>
      </c>
      <c r="L69" s="27">
        <v>291.0</v>
      </c>
      <c r="M69" s="27">
        <v>233.0</v>
      </c>
      <c r="N69" s="27">
        <v>134.0</v>
      </c>
      <c r="O69" s="27">
        <v>112.0</v>
      </c>
      <c r="P69" s="27">
        <v>118.0</v>
      </c>
      <c r="Q69" s="27">
        <v>169.0</v>
      </c>
      <c r="R69" s="27">
        <v>248.0</v>
      </c>
      <c r="S69" s="27">
        <v>265.0</v>
      </c>
      <c r="T69" s="27">
        <v>343.0</v>
      </c>
      <c r="U69" s="27">
        <v>39.0</v>
      </c>
    </row>
    <row r="70">
      <c r="C70" s="27">
        <v>54.0</v>
      </c>
      <c r="D70" s="27">
        <v>378.0</v>
      </c>
      <c r="E70" s="27">
        <v>9.0</v>
      </c>
      <c r="F70" s="27">
        <v>114.0</v>
      </c>
      <c r="G70" s="27">
        <v>14.0</v>
      </c>
      <c r="H70" s="27">
        <v>53.0</v>
      </c>
      <c r="I70" s="27">
        <v>8.0</v>
      </c>
      <c r="J70" s="27">
        <v>56.0</v>
      </c>
      <c r="K70" s="27">
        <v>9.0</v>
      </c>
      <c r="L70" s="27">
        <v>238.0</v>
      </c>
      <c r="M70" s="27">
        <v>207.0</v>
      </c>
      <c r="N70" s="27">
        <v>133.0</v>
      </c>
      <c r="O70" s="27">
        <v>116.0</v>
      </c>
      <c r="P70" s="27">
        <v>116.0</v>
      </c>
      <c r="Q70" s="27">
        <v>167.0</v>
      </c>
      <c r="R70" s="27">
        <v>241.0</v>
      </c>
      <c r="S70" s="27">
        <v>273.0</v>
      </c>
      <c r="T70" s="27">
        <v>339.0</v>
      </c>
      <c r="U70" s="27">
        <v>38.0</v>
      </c>
    </row>
    <row r="71">
      <c r="C71" s="27">
        <v>55.0</v>
      </c>
      <c r="D71" s="27">
        <v>392.0</v>
      </c>
      <c r="E71" s="27">
        <v>9.0</v>
      </c>
      <c r="F71" s="27">
        <v>95.0</v>
      </c>
      <c r="G71" s="27">
        <v>14.0</v>
      </c>
      <c r="H71" s="27">
        <v>40.0</v>
      </c>
      <c r="I71" s="27">
        <v>11.0</v>
      </c>
      <c r="J71" s="27">
        <v>54.0</v>
      </c>
      <c r="K71" s="27">
        <v>9.0</v>
      </c>
      <c r="L71" s="27">
        <v>281.0</v>
      </c>
      <c r="M71" s="27">
        <v>179.0</v>
      </c>
      <c r="N71" s="27">
        <v>133.0</v>
      </c>
      <c r="O71" s="27">
        <v>114.0</v>
      </c>
      <c r="P71" s="27">
        <v>117.0</v>
      </c>
      <c r="Q71" s="27">
        <v>168.0</v>
      </c>
      <c r="R71" s="27">
        <v>243.0</v>
      </c>
      <c r="S71" s="27">
        <v>284.0</v>
      </c>
      <c r="T71" s="27">
        <v>349.0</v>
      </c>
      <c r="U71" s="27">
        <v>39.0</v>
      </c>
    </row>
    <row r="72">
      <c r="C72" s="27">
        <v>56.0</v>
      </c>
      <c r="D72" s="27">
        <v>387.0</v>
      </c>
      <c r="E72" s="27">
        <v>9.0</v>
      </c>
      <c r="F72" s="27">
        <v>119.0</v>
      </c>
      <c r="G72" s="27">
        <v>14.0</v>
      </c>
      <c r="H72" s="27">
        <v>56.0</v>
      </c>
      <c r="I72" s="27">
        <v>8.0</v>
      </c>
      <c r="J72" s="27">
        <v>54.0</v>
      </c>
      <c r="K72" s="27">
        <v>9.0</v>
      </c>
      <c r="L72" s="27">
        <v>271.0</v>
      </c>
      <c r="M72" s="27">
        <v>231.0</v>
      </c>
      <c r="N72" s="27">
        <v>134.0</v>
      </c>
      <c r="O72" s="27">
        <v>113.0</v>
      </c>
      <c r="P72" s="27">
        <v>118.0</v>
      </c>
      <c r="Q72" s="27">
        <v>191.0</v>
      </c>
      <c r="R72" s="27">
        <v>231.0</v>
      </c>
      <c r="S72" s="27">
        <v>274.0</v>
      </c>
      <c r="T72" s="27">
        <v>350.0</v>
      </c>
      <c r="U72" s="27">
        <v>37.0</v>
      </c>
    </row>
    <row r="73">
      <c r="C73" s="27">
        <v>57.0</v>
      </c>
      <c r="D73" s="27">
        <v>375.0</v>
      </c>
      <c r="E73" s="27">
        <v>9.0</v>
      </c>
      <c r="F73" s="27">
        <v>118.0</v>
      </c>
      <c r="G73" s="27">
        <v>15.0</v>
      </c>
      <c r="H73" s="27">
        <v>32.0</v>
      </c>
      <c r="I73" s="27">
        <v>11.0</v>
      </c>
      <c r="J73" s="27">
        <v>52.0</v>
      </c>
      <c r="K73" s="27">
        <v>9.0</v>
      </c>
      <c r="L73" s="27">
        <v>142.0</v>
      </c>
      <c r="M73" s="27">
        <v>188.0</v>
      </c>
      <c r="N73" s="27">
        <v>203.0</v>
      </c>
      <c r="O73" s="27">
        <v>109.0</v>
      </c>
      <c r="P73" s="27">
        <v>119.0</v>
      </c>
      <c r="Q73" s="27">
        <v>172.0</v>
      </c>
      <c r="R73" s="27">
        <v>233.0</v>
      </c>
      <c r="S73" s="27">
        <v>273.0</v>
      </c>
      <c r="T73" s="27">
        <v>345.0</v>
      </c>
      <c r="U73" s="27">
        <v>36.0</v>
      </c>
    </row>
    <row r="74">
      <c r="C74" s="27">
        <v>58.0</v>
      </c>
      <c r="D74" s="27">
        <v>398.0</v>
      </c>
      <c r="E74" s="27">
        <v>7.0</v>
      </c>
      <c r="F74" s="27">
        <v>126.0</v>
      </c>
      <c r="G74" s="27">
        <v>13.0</v>
      </c>
      <c r="H74" s="27">
        <v>24.0</v>
      </c>
      <c r="I74" s="27">
        <v>8.0</v>
      </c>
      <c r="J74" s="27">
        <v>34.0</v>
      </c>
      <c r="K74" s="27">
        <v>10.0</v>
      </c>
      <c r="L74" s="27">
        <v>273.0</v>
      </c>
      <c r="M74" s="27">
        <v>231.0</v>
      </c>
      <c r="N74" s="27">
        <v>134.0</v>
      </c>
      <c r="O74" s="27">
        <v>180.0</v>
      </c>
      <c r="P74" s="27">
        <v>124.0</v>
      </c>
      <c r="Q74" s="27">
        <v>164.0</v>
      </c>
      <c r="R74" s="27">
        <v>245.0</v>
      </c>
      <c r="S74" s="27">
        <v>273.0</v>
      </c>
      <c r="T74" s="27">
        <v>344.0</v>
      </c>
      <c r="U74" s="27">
        <v>38.0</v>
      </c>
    </row>
    <row r="75">
      <c r="C75" s="27">
        <v>59.0</v>
      </c>
      <c r="D75" s="27">
        <v>436.0</v>
      </c>
      <c r="E75" s="27">
        <v>7.0</v>
      </c>
      <c r="F75" s="27">
        <v>97.0</v>
      </c>
      <c r="G75" s="27">
        <v>13.0</v>
      </c>
      <c r="H75" s="27">
        <v>13.0</v>
      </c>
      <c r="I75" s="27">
        <v>12.0</v>
      </c>
      <c r="J75" s="27">
        <v>54.0</v>
      </c>
      <c r="K75" s="27">
        <v>9.0</v>
      </c>
      <c r="L75" s="27">
        <v>285.0</v>
      </c>
      <c r="M75" s="27">
        <v>230.0</v>
      </c>
      <c r="N75" s="27">
        <v>133.0</v>
      </c>
      <c r="O75" s="27">
        <v>117.0</v>
      </c>
      <c r="P75" s="27">
        <v>115.0</v>
      </c>
      <c r="Q75" s="27">
        <v>167.0</v>
      </c>
      <c r="R75" s="27">
        <v>247.0</v>
      </c>
      <c r="S75" s="27">
        <v>298.0</v>
      </c>
      <c r="T75" s="27">
        <v>340.0</v>
      </c>
      <c r="U75" s="27">
        <v>39.0</v>
      </c>
    </row>
    <row r="76">
      <c r="C76" s="27">
        <v>60.0</v>
      </c>
      <c r="D76" s="27">
        <v>457.0</v>
      </c>
      <c r="E76" s="27">
        <v>7.0</v>
      </c>
      <c r="F76" s="27">
        <v>126.0</v>
      </c>
      <c r="G76" s="27">
        <v>15.0</v>
      </c>
      <c r="H76" s="27">
        <v>52.0</v>
      </c>
      <c r="I76" s="27">
        <v>11.0</v>
      </c>
      <c r="J76" s="27">
        <v>37.0</v>
      </c>
      <c r="K76" s="27">
        <v>10.0</v>
      </c>
      <c r="L76" s="27">
        <v>277.0</v>
      </c>
      <c r="M76" s="27">
        <v>244.0</v>
      </c>
      <c r="N76" s="27">
        <v>185.0</v>
      </c>
      <c r="O76" s="27">
        <v>117.0</v>
      </c>
      <c r="P76" s="27">
        <v>117.0</v>
      </c>
      <c r="Q76" s="27">
        <v>197.0</v>
      </c>
      <c r="R76" s="27">
        <v>224.0</v>
      </c>
      <c r="S76" s="27">
        <v>274.0</v>
      </c>
      <c r="T76" s="27">
        <v>348.0</v>
      </c>
      <c r="U76" s="27">
        <v>38.0</v>
      </c>
    </row>
    <row r="77">
      <c r="C77" s="27">
        <v>61.0</v>
      </c>
      <c r="D77" s="27">
        <v>398.0</v>
      </c>
      <c r="E77" s="27">
        <v>7.0</v>
      </c>
      <c r="F77" s="27">
        <v>120.0</v>
      </c>
      <c r="G77" s="27">
        <v>14.0</v>
      </c>
      <c r="H77" s="27">
        <v>38.0</v>
      </c>
      <c r="I77" s="27">
        <v>11.0</v>
      </c>
      <c r="J77" s="27">
        <v>37.0</v>
      </c>
      <c r="K77" s="27">
        <v>9.0</v>
      </c>
      <c r="L77" s="27">
        <v>263.0</v>
      </c>
      <c r="M77" s="27">
        <v>223.0</v>
      </c>
      <c r="N77" s="27">
        <v>133.0</v>
      </c>
      <c r="O77" s="27">
        <v>171.0</v>
      </c>
      <c r="P77" s="27">
        <v>118.0</v>
      </c>
      <c r="Q77" s="27">
        <v>168.0</v>
      </c>
      <c r="R77" s="27">
        <v>130.0</v>
      </c>
      <c r="S77" s="27">
        <v>273.0</v>
      </c>
      <c r="T77" s="27">
        <v>350.0</v>
      </c>
      <c r="U77" s="27">
        <v>39.0</v>
      </c>
    </row>
    <row r="78">
      <c r="C78" s="27">
        <v>62.0</v>
      </c>
      <c r="D78" s="27">
        <v>384.0</v>
      </c>
      <c r="E78" s="27">
        <v>8.0</v>
      </c>
      <c r="F78" s="27">
        <v>97.0</v>
      </c>
      <c r="G78" s="27">
        <v>14.0</v>
      </c>
      <c r="H78" s="27">
        <v>26.0</v>
      </c>
      <c r="I78" s="27">
        <v>8.0</v>
      </c>
      <c r="J78" s="27">
        <v>36.0</v>
      </c>
      <c r="K78" s="27">
        <v>9.0</v>
      </c>
      <c r="L78" s="27">
        <v>155.0</v>
      </c>
      <c r="M78" s="27">
        <v>223.0</v>
      </c>
      <c r="N78" s="27">
        <v>133.0</v>
      </c>
      <c r="O78" s="27">
        <v>115.0</v>
      </c>
      <c r="P78" s="27">
        <v>119.0</v>
      </c>
      <c r="Q78" s="27">
        <v>195.0</v>
      </c>
      <c r="R78" s="27">
        <v>245.0</v>
      </c>
      <c r="S78" s="27">
        <v>289.0</v>
      </c>
      <c r="T78" s="27">
        <v>348.0</v>
      </c>
      <c r="U78" s="27">
        <v>39.0</v>
      </c>
    </row>
    <row r="79">
      <c r="C79" s="27">
        <v>63.0</v>
      </c>
      <c r="D79" s="27">
        <v>290.0</v>
      </c>
      <c r="E79" s="27">
        <v>8.0</v>
      </c>
      <c r="F79" s="27">
        <v>122.0</v>
      </c>
      <c r="G79" s="27">
        <v>13.0</v>
      </c>
      <c r="H79" s="27">
        <v>49.0</v>
      </c>
      <c r="I79" s="27">
        <v>12.0</v>
      </c>
      <c r="J79" s="27">
        <v>53.0</v>
      </c>
      <c r="K79" s="27">
        <v>9.0</v>
      </c>
      <c r="L79" s="27">
        <v>249.0</v>
      </c>
      <c r="M79" s="27">
        <v>229.0</v>
      </c>
      <c r="N79" s="27">
        <v>131.0</v>
      </c>
      <c r="O79" s="27">
        <v>116.0</v>
      </c>
      <c r="P79" s="27">
        <v>119.0</v>
      </c>
      <c r="Q79" s="27">
        <v>163.0</v>
      </c>
      <c r="R79" s="27">
        <v>247.0</v>
      </c>
      <c r="S79" s="27">
        <v>263.0</v>
      </c>
      <c r="T79" s="27">
        <v>350.0</v>
      </c>
      <c r="U79" s="27">
        <v>36.0</v>
      </c>
    </row>
    <row r="80">
      <c r="C80" s="27">
        <v>64.0</v>
      </c>
      <c r="D80" s="27">
        <v>520.0</v>
      </c>
      <c r="E80" s="27">
        <v>8.0</v>
      </c>
      <c r="F80" s="27">
        <v>124.0</v>
      </c>
      <c r="G80" s="27">
        <v>13.0</v>
      </c>
      <c r="H80" s="27">
        <v>53.0</v>
      </c>
      <c r="I80" s="27">
        <v>11.0</v>
      </c>
      <c r="J80" s="27">
        <v>57.0</v>
      </c>
      <c r="K80" s="27">
        <v>9.0</v>
      </c>
      <c r="L80" s="27">
        <v>283.0</v>
      </c>
      <c r="M80" s="27">
        <v>240.0</v>
      </c>
      <c r="N80" s="27">
        <v>175.0</v>
      </c>
      <c r="O80" s="27">
        <v>119.0</v>
      </c>
      <c r="P80" s="27">
        <v>121.0</v>
      </c>
      <c r="Q80" s="27">
        <v>175.0</v>
      </c>
      <c r="R80" s="27">
        <v>243.0</v>
      </c>
      <c r="S80" s="27">
        <v>266.0</v>
      </c>
      <c r="T80" s="27">
        <v>341.0</v>
      </c>
      <c r="U80" s="27">
        <v>38.0</v>
      </c>
    </row>
    <row r="81"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</row>
    <row r="8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>
      <c r="A83" s="27" t="s">
        <v>76</v>
      </c>
      <c r="B83" t="str">
        <f t="shared" ref="B83:U83" si="1">AVERAGE(B17:B82)</f>
        <v>#DIV/0!</v>
      </c>
      <c r="C83" t="str">
        <f t="shared" si="1"/>
        <v>32.5</v>
      </c>
      <c r="D83" t="str">
        <f t="shared" si="1"/>
        <v>394.3125</v>
      </c>
      <c r="E83" s="102" t="str">
        <f t="shared" si="1"/>
        <v>7.703125</v>
      </c>
      <c r="F83" t="str">
        <f t="shared" si="1"/>
        <v>106.703125</v>
      </c>
      <c r="G83" s="102" t="str">
        <f t="shared" si="1"/>
        <v>13.75</v>
      </c>
      <c r="H83" t="str">
        <f t="shared" si="1"/>
        <v>39.953125</v>
      </c>
      <c r="I83" t="str">
        <f t="shared" si="1"/>
        <v>9.71875</v>
      </c>
      <c r="J83" s="102" t="str">
        <f t="shared" si="1"/>
        <v>46.765625</v>
      </c>
      <c r="K83" t="str">
        <f t="shared" si="1"/>
        <v>9.46875</v>
      </c>
      <c r="L83" s="102" t="str">
        <f t="shared" si="1"/>
        <v>260.40625</v>
      </c>
      <c r="M83" t="str">
        <f t="shared" si="1"/>
        <v>215.171875</v>
      </c>
      <c r="N83" s="102" t="str">
        <f t="shared" si="1"/>
        <v>151.28125</v>
      </c>
      <c r="O83" s="102" t="str">
        <f t="shared" si="1"/>
        <v>133.375</v>
      </c>
      <c r="P83" s="102" t="str">
        <f t="shared" si="1"/>
        <v>118.59375</v>
      </c>
      <c r="Q83" s="102" t="str">
        <f t="shared" si="1"/>
        <v>171.40625</v>
      </c>
      <c r="R83" t="str">
        <f t="shared" si="1"/>
        <v>200.296875</v>
      </c>
      <c r="S83" t="str">
        <f t="shared" si="1"/>
        <v>268.296875</v>
      </c>
      <c r="T83" t="str">
        <f t="shared" si="1"/>
        <v>344.15625</v>
      </c>
      <c r="U83" t="str">
        <f t="shared" si="1"/>
        <v>37.5</v>
      </c>
    </row>
    <row r="84">
      <c r="A84" s="69" t="s">
        <v>48</v>
      </c>
      <c r="B84" s="70" t="str">
        <f t="shared" ref="B84:C84" si="2">10000*64/B83</f>
        <v>#DIV/0!</v>
      </c>
      <c r="C84" s="70" t="str">
        <f t="shared" si="2"/>
        <v>19692.30769</v>
      </c>
      <c r="D84" s="70" t="str">
        <f t="shared" ref="D84:E84" si="3">10000*1024*64/D83</f>
        <v>1662032.01775</v>
      </c>
      <c r="E84" s="70" t="str">
        <f t="shared" si="3"/>
        <v>85077160.24341</v>
      </c>
      <c r="F84" s="70" t="str">
        <f t="shared" ref="F84:G84" si="4">1000*64*10240/F83</f>
        <v>6141900.71753</v>
      </c>
      <c r="G84" s="70" t="str">
        <f t="shared" si="4"/>
        <v>47662545.45455</v>
      </c>
      <c r="H84" s="70" t="str">
        <f t="shared" ref="H84:I84" si="5">1000*64*102400/H83</f>
        <v>164032225.26398</v>
      </c>
      <c r="I84" s="70" t="str">
        <f t="shared" si="5"/>
        <v>674325401.92926</v>
      </c>
      <c r="J84" s="70" t="str">
        <f t="shared" ref="J84:K84" si="6">1000*64*1024000/J83</f>
        <v>1401371199.46542</v>
      </c>
      <c r="K84" s="70" t="str">
        <f t="shared" si="6"/>
        <v>6921293729.37294</v>
      </c>
      <c r="L84" s="70" t="str">
        <f t="shared" ref="L84:M84" si="7">1000*64*10240000/L83</f>
        <v>2516683067.32269</v>
      </c>
      <c r="M84" s="70" t="str">
        <f t="shared" si="7"/>
        <v>3045751216.32416</v>
      </c>
      <c r="N84" s="70" t="str">
        <f t="shared" ref="N84:O84" si="8">100*64*102400000/N83</f>
        <v>4332063623.21834</v>
      </c>
      <c r="O84" s="70" t="str">
        <f t="shared" si="8"/>
        <v>4913664479.85005</v>
      </c>
      <c r="P84" s="70" t="str">
        <f t="shared" ref="P84:Q84" si="9">10*64*1024000000/P83</f>
        <v>5526092226.61397</v>
      </c>
      <c r="Q84" s="70" t="str">
        <f t="shared" si="9"/>
        <v>3823431175.93437</v>
      </c>
      <c r="R84" s="70" t="str">
        <f t="shared" ref="R84:S84" si="10">1*64*10240000000/R83</f>
        <v>3271943209.29870</v>
      </c>
      <c r="S84" s="70" t="str">
        <f t="shared" si="10"/>
        <v>2442667287.86908</v>
      </c>
      <c r="T84" s="70" t="str">
        <f t="shared" ref="T84:U84" si="11">10000*64/T83</f>
        <v>1859.62045</v>
      </c>
      <c r="U84" s="70" t="str">
        <f t="shared" si="11"/>
        <v>17066.66667</v>
      </c>
      <c r="V84" s="70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</row>
    <row r="85">
      <c r="A85" s="103" t="s">
        <v>65</v>
      </c>
      <c r="B85" s="71"/>
      <c r="C85" s="71"/>
      <c r="D85" s="104" t="str">
        <f t="shared" ref="D85:S85" si="12">D84/1024/1024</f>
        <v>1.585037248</v>
      </c>
      <c r="E85" s="104" t="str">
        <f t="shared" si="12"/>
        <v>81.13590264</v>
      </c>
      <c r="F85" s="104" t="str">
        <f t="shared" si="12"/>
        <v>5.857372968</v>
      </c>
      <c r="G85" s="104" t="str">
        <f t="shared" si="12"/>
        <v>45.45454545</v>
      </c>
      <c r="H85" s="104" t="str">
        <f t="shared" si="12"/>
        <v>156.4333203</v>
      </c>
      <c r="I85" s="104" t="str">
        <f t="shared" si="12"/>
        <v>643.0868167</v>
      </c>
      <c r="J85" s="104" t="str">
        <f t="shared" si="12"/>
        <v>1336.451721</v>
      </c>
      <c r="K85" s="104" t="str">
        <f t="shared" si="12"/>
        <v>6600.660066</v>
      </c>
      <c r="L85" s="104" t="str">
        <f t="shared" si="12"/>
        <v>2400.096004</v>
      </c>
      <c r="M85" s="104" t="str">
        <f t="shared" si="12"/>
        <v>2904.654709</v>
      </c>
      <c r="N85" s="104" t="str">
        <f t="shared" si="12"/>
        <v>4131.377815</v>
      </c>
      <c r="O85" s="104" t="str">
        <f t="shared" si="12"/>
        <v>4686.035614</v>
      </c>
      <c r="P85" s="104" t="str">
        <f t="shared" si="12"/>
        <v>5270.092227</v>
      </c>
      <c r="Q85" s="104" t="str">
        <f t="shared" si="12"/>
        <v>3646.308113</v>
      </c>
      <c r="R85" s="104" t="str">
        <f t="shared" si="12"/>
        <v>3120.368203</v>
      </c>
      <c r="S85" s="104" t="str">
        <f t="shared" si="12"/>
        <v>2329.509056</v>
      </c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</row>
    <row r="92">
      <c r="C92" s="98" t="s">
        <v>55</v>
      </c>
      <c r="D92" s="76" t="s">
        <v>56</v>
      </c>
      <c r="F92" s="76" t="s">
        <v>57</v>
      </c>
      <c r="H92" s="76" t="s">
        <v>58</v>
      </c>
      <c r="J92" s="76" t="s">
        <v>59</v>
      </c>
      <c r="L92" s="76" t="s">
        <v>60</v>
      </c>
      <c r="N92" s="76" t="s">
        <v>61</v>
      </c>
      <c r="P92" s="76" t="s">
        <v>62</v>
      </c>
      <c r="R92" s="76" t="s">
        <v>63</v>
      </c>
      <c r="T92" s="76" t="s">
        <v>64</v>
      </c>
    </row>
    <row r="93">
      <c r="C93" s="99" t="s">
        <v>52</v>
      </c>
      <c r="D93" s="77">
        <v>10000.0</v>
      </c>
      <c r="F93" s="77">
        <v>1000.0</v>
      </c>
      <c r="H93" s="77">
        <v>1000.0</v>
      </c>
      <c r="J93" s="77">
        <v>1000.0</v>
      </c>
      <c r="L93" s="77">
        <v>1000.0</v>
      </c>
      <c r="N93" s="77">
        <v>100.0</v>
      </c>
      <c r="P93" s="77">
        <v>10.0</v>
      </c>
      <c r="R93" s="77">
        <v>1.0</v>
      </c>
      <c r="T93" s="77">
        <v>10000.0</v>
      </c>
    </row>
    <row r="94">
      <c r="C94" s="100" t="s">
        <v>53</v>
      </c>
      <c r="D94" s="75" t="s">
        <v>16</v>
      </c>
      <c r="E94" s="75" t="s">
        <v>0</v>
      </c>
      <c r="F94" s="75" t="s">
        <v>16</v>
      </c>
      <c r="G94" s="75" t="s">
        <v>0</v>
      </c>
      <c r="H94" s="75" t="s">
        <v>16</v>
      </c>
      <c r="I94" s="75" t="s">
        <v>0</v>
      </c>
      <c r="J94" s="75" t="s">
        <v>16</v>
      </c>
      <c r="K94" s="75" t="s">
        <v>0</v>
      </c>
      <c r="L94" s="75" t="s">
        <v>16</v>
      </c>
      <c r="M94" s="75" t="s">
        <v>0</v>
      </c>
      <c r="N94" s="75" t="s">
        <v>16</v>
      </c>
      <c r="O94" s="75" t="s">
        <v>0</v>
      </c>
      <c r="P94" s="75" t="s">
        <v>16</v>
      </c>
      <c r="Q94" s="75" t="s">
        <v>0</v>
      </c>
      <c r="R94" s="75" t="s">
        <v>16</v>
      </c>
      <c r="S94" s="75" t="s">
        <v>0</v>
      </c>
      <c r="T94" s="75" t="s">
        <v>16</v>
      </c>
      <c r="U94" s="75" t="s">
        <v>0</v>
      </c>
    </row>
    <row r="95">
      <c r="C95" s="27">
        <v>1.0</v>
      </c>
      <c r="D95" s="27">
        <v>351.0</v>
      </c>
      <c r="E95" s="27">
        <v>28.0</v>
      </c>
      <c r="F95" s="27">
        <v>20.0</v>
      </c>
      <c r="G95" s="27">
        <v>6.0</v>
      </c>
      <c r="H95" s="27">
        <v>30.0</v>
      </c>
      <c r="I95" s="27">
        <v>6.0</v>
      </c>
      <c r="J95" s="27">
        <v>25.0</v>
      </c>
      <c r="K95" s="27">
        <v>10.0</v>
      </c>
      <c r="L95" s="27">
        <v>121.0</v>
      </c>
      <c r="M95" s="27">
        <v>166.0</v>
      </c>
      <c r="N95" s="27">
        <v>114.0</v>
      </c>
      <c r="O95" s="27">
        <v>165.0</v>
      </c>
      <c r="P95" s="27">
        <v>117.0</v>
      </c>
      <c r="Q95" s="27">
        <v>166.0</v>
      </c>
      <c r="R95" s="27">
        <v>116.0</v>
      </c>
      <c r="S95" s="27">
        <v>164.0</v>
      </c>
      <c r="T95" s="27">
        <v>103.0</v>
      </c>
      <c r="U95" s="27">
        <v>22.0</v>
      </c>
    </row>
    <row r="96">
      <c r="C96" s="27">
        <v>2.0</v>
      </c>
      <c r="D96" s="27">
        <v>369.0</v>
      </c>
      <c r="E96" s="27">
        <v>27.0</v>
      </c>
      <c r="F96" s="27">
        <v>18.0</v>
      </c>
      <c r="G96" s="27">
        <v>6.0</v>
      </c>
      <c r="H96" s="27">
        <v>20.0</v>
      </c>
      <c r="I96" s="27">
        <v>7.0</v>
      </c>
      <c r="J96" s="27">
        <v>27.0</v>
      </c>
      <c r="K96" s="27">
        <v>10.0</v>
      </c>
      <c r="L96" s="27">
        <v>142.0</v>
      </c>
      <c r="M96" s="27">
        <v>169.0</v>
      </c>
      <c r="N96" s="27">
        <v>130.0</v>
      </c>
      <c r="O96" s="27">
        <v>168.0</v>
      </c>
      <c r="P96" s="27">
        <v>123.0</v>
      </c>
      <c r="Q96" s="27">
        <v>171.0</v>
      </c>
      <c r="R96" s="27">
        <v>126.0</v>
      </c>
      <c r="S96" s="27">
        <v>167.0</v>
      </c>
      <c r="T96" s="27">
        <v>102.0</v>
      </c>
      <c r="U96" s="27">
        <v>21.0</v>
      </c>
    </row>
    <row r="97">
      <c r="C97" s="27">
        <v>3.0</v>
      </c>
      <c r="D97" s="27">
        <v>304.0</v>
      </c>
      <c r="E97" s="27">
        <v>27.0</v>
      </c>
      <c r="F97" s="27">
        <v>26.0</v>
      </c>
      <c r="G97" s="27">
        <v>7.0</v>
      </c>
      <c r="H97" s="27">
        <v>19.0</v>
      </c>
      <c r="I97" s="27">
        <v>7.0</v>
      </c>
      <c r="J97" s="27">
        <v>41.0</v>
      </c>
      <c r="K97" s="27">
        <v>10.0</v>
      </c>
      <c r="L97" s="27">
        <v>131.0</v>
      </c>
      <c r="M97" s="27">
        <v>161.0</v>
      </c>
      <c r="N97" s="27">
        <v>115.0</v>
      </c>
      <c r="O97" s="27">
        <v>166.0</v>
      </c>
      <c r="P97" s="27">
        <v>116.0</v>
      </c>
      <c r="Q97" s="27">
        <v>173.0</v>
      </c>
      <c r="R97" s="27">
        <v>118.0</v>
      </c>
      <c r="S97" s="27">
        <v>164.0</v>
      </c>
      <c r="T97" s="27">
        <v>104.0</v>
      </c>
      <c r="U97" s="27">
        <v>21.0</v>
      </c>
    </row>
    <row r="98">
      <c r="C98" s="27">
        <v>4.0</v>
      </c>
      <c r="D98" s="27">
        <v>321.0</v>
      </c>
      <c r="E98" s="27">
        <v>28.0</v>
      </c>
      <c r="F98" s="27">
        <v>25.0</v>
      </c>
      <c r="G98" s="27">
        <v>6.0</v>
      </c>
      <c r="H98" s="27">
        <v>28.0</v>
      </c>
      <c r="I98" s="27">
        <v>7.0</v>
      </c>
      <c r="J98" s="27">
        <v>37.0</v>
      </c>
      <c r="K98" s="27">
        <v>9.0</v>
      </c>
      <c r="L98" s="27">
        <v>154.0</v>
      </c>
      <c r="M98" s="27">
        <v>169.0</v>
      </c>
      <c r="N98" s="27">
        <v>116.0</v>
      </c>
      <c r="O98" s="27">
        <v>165.0</v>
      </c>
      <c r="P98" s="27">
        <v>120.0</v>
      </c>
      <c r="Q98" s="27">
        <v>167.0</v>
      </c>
      <c r="R98" s="27">
        <v>122.0</v>
      </c>
      <c r="S98" s="27">
        <v>173.0</v>
      </c>
      <c r="T98" s="27">
        <v>96.0</v>
      </c>
      <c r="U98" s="27">
        <v>21.0</v>
      </c>
    </row>
    <row r="99">
      <c r="C99" s="27">
        <v>5.0</v>
      </c>
      <c r="D99" s="27">
        <v>264.0</v>
      </c>
      <c r="E99" s="27">
        <v>28.0</v>
      </c>
      <c r="F99" s="27">
        <v>24.0</v>
      </c>
      <c r="G99" s="27">
        <v>6.0</v>
      </c>
      <c r="H99" s="27">
        <v>19.0</v>
      </c>
      <c r="I99" s="27">
        <v>7.0</v>
      </c>
      <c r="J99" s="27">
        <v>35.0</v>
      </c>
      <c r="K99" s="27">
        <v>9.0</v>
      </c>
      <c r="L99" s="27">
        <v>121.0</v>
      </c>
      <c r="M99" s="27">
        <v>165.0</v>
      </c>
      <c r="N99" s="27">
        <v>114.0</v>
      </c>
      <c r="O99" s="27">
        <v>163.0</v>
      </c>
      <c r="P99" s="27">
        <v>114.0</v>
      </c>
      <c r="Q99" s="27">
        <v>169.0</v>
      </c>
      <c r="R99" s="27">
        <v>115.0</v>
      </c>
      <c r="S99" s="27">
        <v>168.0</v>
      </c>
      <c r="T99" s="27">
        <v>103.0</v>
      </c>
      <c r="U99" s="27">
        <v>21.0</v>
      </c>
    </row>
    <row r="100">
      <c r="C100" s="27">
        <v>6.0</v>
      </c>
      <c r="D100" s="27">
        <v>364.0</v>
      </c>
      <c r="E100" s="27">
        <v>28.0</v>
      </c>
      <c r="F100" s="27">
        <v>23.0</v>
      </c>
      <c r="G100" s="27">
        <v>7.0</v>
      </c>
      <c r="H100" s="27">
        <v>29.0</v>
      </c>
      <c r="I100" s="27">
        <v>7.0</v>
      </c>
      <c r="J100" s="27">
        <v>28.0</v>
      </c>
      <c r="K100" s="27">
        <v>10.0</v>
      </c>
      <c r="L100" s="27">
        <v>123.0</v>
      </c>
      <c r="M100" s="27">
        <v>168.0</v>
      </c>
      <c r="N100" s="27">
        <v>116.0</v>
      </c>
      <c r="O100" s="27">
        <v>169.0</v>
      </c>
      <c r="P100" s="27">
        <v>116.0</v>
      </c>
      <c r="Q100" s="27">
        <v>170.0</v>
      </c>
      <c r="R100" s="27">
        <v>122.0</v>
      </c>
      <c r="S100" s="27">
        <v>168.0</v>
      </c>
      <c r="T100" s="27">
        <v>101.0</v>
      </c>
      <c r="U100" s="27">
        <v>22.0</v>
      </c>
    </row>
    <row r="101">
      <c r="C101" s="27">
        <v>7.0</v>
      </c>
      <c r="D101" s="27">
        <v>424.0</v>
      </c>
      <c r="E101" s="27">
        <v>29.0</v>
      </c>
      <c r="F101" s="27">
        <v>28.0</v>
      </c>
      <c r="G101" s="27">
        <v>7.0</v>
      </c>
      <c r="H101" s="27">
        <v>30.0</v>
      </c>
      <c r="I101" s="27">
        <v>7.0</v>
      </c>
      <c r="J101" s="27">
        <v>46.0</v>
      </c>
      <c r="K101" s="27">
        <v>9.0</v>
      </c>
      <c r="L101" s="27">
        <v>159.0</v>
      </c>
      <c r="M101" s="27">
        <v>162.0</v>
      </c>
      <c r="N101" s="27">
        <v>116.0</v>
      </c>
      <c r="O101" s="27">
        <v>168.0</v>
      </c>
      <c r="P101" s="27">
        <v>117.0</v>
      </c>
      <c r="Q101" s="27">
        <v>166.0</v>
      </c>
      <c r="R101" s="27">
        <v>124.0</v>
      </c>
      <c r="S101" s="27">
        <v>173.0</v>
      </c>
      <c r="T101" s="27">
        <v>103.0</v>
      </c>
      <c r="U101" s="27">
        <v>21.0</v>
      </c>
    </row>
    <row r="102">
      <c r="C102" s="27">
        <v>8.0</v>
      </c>
      <c r="D102" s="27">
        <v>258.0</v>
      </c>
      <c r="E102" s="27">
        <v>27.0</v>
      </c>
      <c r="F102" s="27">
        <v>17.0</v>
      </c>
      <c r="G102" s="27">
        <v>6.0</v>
      </c>
      <c r="H102" s="27">
        <v>19.0</v>
      </c>
      <c r="I102" s="27">
        <v>6.0</v>
      </c>
      <c r="J102" s="27">
        <v>25.0</v>
      </c>
      <c r="K102" s="27">
        <v>10.0</v>
      </c>
      <c r="L102" s="27">
        <v>122.0</v>
      </c>
      <c r="M102" s="27">
        <v>169.0</v>
      </c>
      <c r="N102" s="27">
        <v>115.0</v>
      </c>
      <c r="O102" s="27">
        <v>166.0</v>
      </c>
      <c r="P102" s="27">
        <v>115.0</v>
      </c>
      <c r="Q102" s="27">
        <v>164.0</v>
      </c>
      <c r="R102" s="27">
        <v>121.0</v>
      </c>
      <c r="S102" s="27">
        <v>171.0</v>
      </c>
      <c r="T102" s="27">
        <v>99.0</v>
      </c>
      <c r="U102" s="27">
        <v>21.0</v>
      </c>
    </row>
    <row r="103">
      <c r="C103" s="27">
        <v>9.0</v>
      </c>
      <c r="D103" s="27">
        <v>280.0</v>
      </c>
      <c r="E103" s="27">
        <v>27.0</v>
      </c>
      <c r="F103" s="27">
        <v>18.0</v>
      </c>
      <c r="G103" s="27">
        <v>6.0</v>
      </c>
      <c r="H103" s="27">
        <v>19.0</v>
      </c>
      <c r="I103" s="27">
        <v>6.0</v>
      </c>
      <c r="J103" s="27">
        <v>40.0</v>
      </c>
      <c r="K103" s="27">
        <v>10.0</v>
      </c>
      <c r="L103" s="27">
        <v>168.0</v>
      </c>
      <c r="M103" s="27">
        <v>164.0</v>
      </c>
      <c r="N103" s="27">
        <v>117.0</v>
      </c>
      <c r="O103" s="27">
        <v>166.0</v>
      </c>
      <c r="P103" s="27">
        <v>119.0</v>
      </c>
      <c r="Q103" s="27">
        <v>172.0</v>
      </c>
      <c r="R103" s="27">
        <v>118.0</v>
      </c>
      <c r="S103" s="27">
        <v>166.0</v>
      </c>
      <c r="T103" s="27">
        <v>96.0</v>
      </c>
      <c r="U103" s="27">
        <v>21.0</v>
      </c>
    </row>
    <row r="104">
      <c r="C104" s="27">
        <v>10.0</v>
      </c>
      <c r="D104" s="27">
        <v>297.0</v>
      </c>
      <c r="E104" s="27">
        <v>28.0</v>
      </c>
      <c r="F104" s="27">
        <v>25.0</v>
      </c>
      <c r="G104" s="27">
        <v>6.0</v>
      </c>
      <c r="H104" s="27">
        <v>19.0</v>
      </c>
      <c r="I104" s="27">
        <v>7.0</v>
      </c>
      <c r="J104" s="27">
        <v>27.0</v>
      </c>
      <c r="K104" s="27">
        <v>10.0</v>
      </c>
      <c r="L104" s="27">
        <v>122.0</v>
      </c>
      <c r="M104" s="27">
        <v>167.0</v>
      </c>
      <c r="N104" s="27">
        <v>117.0</v>
      </c>
      <c r="O104" s="27">
        <v>168.0</v>
      </c>
      <c r="P104" s="27">
        <v>106.0</v>
      </c>
      <c r="Q104" s="27">
        <v>170.0</v>
      </c>
      <c r="R104" s="27">
        <v>115.0</v>
      </c>
      <c r="S104" s="27">
        <v>165.0</v>
      </c>
      <c r="T104" s="27">
        <v>105.0</v>
      </c>
      <c r="U104" s="27">
        <v>21.0</v>
      </c>
    </row>
    <row r="105">
      <c r="C105" s="27">
        <v>11.0</v>
      </c>
      <c r="D105" s="27">
        <v>379.0</v>
      </c>
      <c r="E105" s="27">
        <v>28.0</v>
      </c>
      <c r="F105" s="27">
        <v>19.0</v>
      </c>
      <c r="G105" s="27">
        <v>6.0</v>
      </c>
      <c r="H105" s="27">
        <v>31.0</v>
      </c>
      <c r="I105" s="27">
        <v>6.0</v>
      </c>
      <c r="J105" s="27">
        <v>42.0</v>
      </c>
      <c r="K105" s="27">
        <v>9.0</v>
      </c>
      <c r="L105" s="27">
        <v>122.0</v>
      </c>
      <c r="M105" s="27">
        <v>169.0</v>
      </c>
      <c r="N105" s="27">
        <v>117.0</v>
      </c>
      <c r="O105" s="27">
        <v>168.0</v>
      </c>
      <c r="P105" s="27">
        <v>117.0</v>
      </c>
      <c r="Q105" s="27">
        <v>170.0</v>
      </c>
      <c r="R105" s="27">
        <v>121.0</v>
      </c>
      <c r="S105" s="27">
        <v>170.0</v>
      </c>
      <c r="T105" s="27">
        <v>104.0</v>
      </c>
      <c r="U105" s="27">
        <v>22.0</v>
      </c>
    </row>
    <row r="106">
      <c r="C106" s="27">
        <v>12.0</v>
      </c>
      <c r="D106" s="27">
        <v>373.0</v>
      </c>
      <c r="E106" s="27">
        <v>28.0</v>
      </c>
      <c r="F106" s="27">
        <v>22.0</v>
      </c>
      <c r="G106" s="27">
        <v>6.0</v>
      </c>
      <c r="H106" s="27">
        <v>27.0</v>
      </c>
      <c r="I106" s="27">
        <v>7.0</v>
      </c>
      <c r="J106" s="27">
        <v>41.0</v>
      </c>
      <c r="K106" s="27">
        <v>10.0</v>
      </c>
      <c r="L106" s="27">
        <v>122.0</v>
      </c>
      <c r="M106" s="27">
        <v>168.0</v>
      </c>
      <c r="N106" s="27">
        <v>120.0</v>
      </c>
      <c r="O106" s="27">
        <v>168.0</v>
      </c>
      <c r="P106" s="27">
        <v>118.0</v>
      </c>
      <c r="Q106" s="27">
        <v>171.0</v>
      </c>
      <c r="R106" s="27">
        <v>119.0</v>
      </c>
      <c r="S106" s="27">
        <v>170.0</v>
      </c>
      <c r="T106" s="27">
        <v>101.0</v>
      </c>
      <c r="U106" s="27">
        <v>21.0</v>
      </c>
    </row>
    <row r="107">
      <c r="C107" s="27">
        <v>13.0</v>
      </c>
      <c r="D107" s="27">
        <v>391.0</v>
      </c>
      <c r="E107" s="27">
        <v>26.0</v>
      </c>
      <c r="F107" s="27">
        <v>18.0</v>
      </c>
      <c r="G107" s="27">
        <v>6.0</v>
      </c>
      <c r="H107" s="27">
        <v>29.0</v>
      </c>
      <c r="I107" s="27">
        <v>7.0</v>
      </c>
      <c r="J107" s="27">
        <v>24.0</v>
      </c>
      <c r="K107" s="27">
        <v>10.0</v>
      </c>
      <c r="L107" s="27">
        <v>122.0</v>
      </c>
      <c r="M107" s="27">
        <v>168.0</v>
      </c>
      <c r="N107" s="27">
        <v>118.0</v>
      </c>
      <c r="O107" s="27">
        <v>167.0</v>
      </c>
      <c r="P107" s="27">
        <v>115.0</v>
      </c>
      <c r="Q107" s="27">
        <v>168.0</v>
      </c>
      <c r="R107" s="27">
        <v>120.0</v>
      </c>
      <c r="S107" s="27">
        <v>171.0</v>
      </c>
      <c r="T107" s="27">
        <v>96.0</v>
      </c>
      <c r="U107" s="27">
        <v>20.0</v>
      </c>
    </row>
    <row r="108">
      <c r="C108" s="27">
        <v>14.0</v>
      </c>
      <c r="D108" s="27">
        <v>300.0</v>
      </c>
      <c r="E108" s="27">
        <v>27.0</v>
      </c>
      <c r="F108" s="27">
        <v>18.0</v>
      </c>
      <c r="G108" s="27">
        <v>6.0</v>
      </c>
      <c r="H108" s="27">
        <v>19.0</v>
      </c>
      <c r="I108" s="27">
        <v>6.0</v>
      </c>
      <c r="J108" s="27">
        <v>33.0</v>
      </c>
      <c r="K108" s="27">
        <v>10.0</v>
      </c>
      <c r="L108" s="27">
        <v>125.0</v>
      </c>
      <c r="M108" s="27">
        <v>166.0</v>
      </c>
      <c r="N108" s="27">
        <v>117.0</v>
      </c>
      <c r="O108" s="27">
        <v>171.0</v>
      </c>
      <c r="P108" s="27">
        <v>117.0</v>
      </c>
      <c r="Q108" s="27">
        <v>167.0</v>
      </c>
      <c r="R108" s="27">
        <v>119.0</v>
      </c>
      <c r="S108" s="27">
        <v>170.0</v>
      </c>
      <c r="T108" s="27">
        <v>100.0</v>
      </c>
      <c r="U108" s="27">
        <v>22.0</v>
      </c>
    </row>
    <row r="109">
      <c r="C109" s="27">
        <v>15.0</v>
      </c>
      <c r="D109" s="27">
        <v>444.0</v>
      </c>
      <c r="E109" s="27">
        <v>25.0</v>
      </c>
      <c r="F109" s="27">
        <v>33.0</v>
      </c>
      <c r="G109" s="27">
        <v>7.0</v>
      </c>
      <c r="H109" s="27">
        <v>40.0</v>
      </c>
      <c r="I109" s="27">
        <v>8.0</v>
      </c>
      <c r="J109" s="27">
        <v>53.0</v>
      </c>
      <c r="K109" s="27">
        <v>15.0</v>
      </c>
      <c r="L109" s="27">
        <v>148.0</v>
      </c>
      <c r="M109" s="27">
        <v>170.0</v>
      </c>
      <c r="N109" s="27">
        <v>139.0</v>
      </c>
      <c r="O109" s="27">
        <v>227.0</v>
      </c>
      <c r="P109" s="27">
        <v>426.0</v>
      </c>
      <c r="Q109" s="27">
        <v>212.0</v>
      </c>
      <c r="R109" s="27">
        <v>152.0</v>
      </c>
      <c r="S109" s="27">
        <v>230.0</v>
      </c>
      <c r="T109" s="27">
        <v>82.0</v>
      </c>
      <c r="U109" s="27">
        <v>22.0</v>
      </c>
    </row>
    <row r="110">
      <c r="C110" s="27">
        <v>16.0</v>
      </c>
      <c r="D110" s="27">
        <v>348.0</v>
      </c>
      <c r="E110" s="27">
        <v>27.0</v>
      </c>
      <c r="F110" s="27">
        <v>19.0</v>
      </c>
      <c r="G110" s="27">
        <v>6.0</v>
      </c>
      <c r="H110" s="27">
        <v>28.0</v>
      </c>
      <c r="I110" s="27">
        <v>6.0</v>
      </c>
      <c r="J110" s="27">
        <v>24.0</v>
      </c>
      <c r="K110" s="27">
        <v>10.0</v>
      </c>
      <c r="L110" s="27">
        <v>130.0</v>
      </c>
      <c r="M110" s="27">
        <v>169.0</v>
      </c>
      <c r="N110" s="27">
        <v>118.0</v>
      </c>
      <c r="O110" s="27">
        <v>171.0</v>
      </c>
      <c r="P110" s="27">
        <v>117.0</v>
      </c>
      <c r="Q110" s="27">
        <v>168.0</v>
      </c>
      <c r="R110" s="27">
        <v>122.0</v>
      </c>
      <c r="S110" s="27">
        <v>171.0</v>
      </c>
      <c r="T110" s="27">
        <v>102.0</v>
      </c>
      <c r="U110" s="27">
        <v>21.0</v>
      </c>
    </row>
    <row r="111">
      <c r="A111" s="27" t="s">
        <v>47</v>
      </c>
      <c r="B111" s="27" t="str">
        <f t="shared" ref="B111:C111" si="13">AVERAGE(T95:T110)</f>
        <v>99.8125</v>
      </c>
      <c r="C111" s="27" t="str">
        <f t="shared" si="13"/>
        <v>21.25</v>
      </c>
      <c r="D111" s="27" t="str">
        <f t="shared" ref="D111:U111" si="14">AVERAGE(D95:D110)</f>
        <v>341.6875</v>
      </c>
      <c r="E111" s="27" t="str">
        <f t="shared" si="14"/>
        <v>27.375</v>
      </c>
      <c r="F111" s="27" t="str">
        <f t="shared" si="14"/>
        <v>22.0625</v>
      </c>
      <c r="G111" s="27" t="str">
        <f t="shared" si="14"/>
        <v>6.25</v>
      </c>
      <c r="H111" s="27" t="str">
        <f t="shared" si="14"/>
        <v>25.375</v>
      </c>
      <c r="I111" s="27" t="str">
        <f t="shared" si="14"/>
        <v>6.6875</v>
      </c>
      <c r="J111" s="27" t="str">
        <f t="shared" si="14"/>
        <v>34.25</v>
      </c>
      <c r="K111" s="27" t="str">
        <f t="shared" si="14"/>
        <v>10.0625</v>
      </c>
      <c r="L111" s="27" t="str">
        <f t="shared" si="14"/>
        <v>133.25</v>
      </c>
      <c r="M111" s="27" t="str">
        <f t="shared" si="14"/>
        <v>166.875</v>
      </c>
      <c r="N111" s="27" t="str">
        <f t="shared" si="14"/>
        <v>118.6875</v>
      </c>
      <c r="O111" s="27" t="str">
        <f t="shared" si="14"/>
        <v>171</v>
      </c>
      <c r="P111" s="27" t="str">
        <f t="shared" si="14"/>
        <v>135.8125</v>
      </c>
      <c r="Q111" s="27" t="str">
        <f t="shared" si="14"/>
        <v>171.5</v>
      </c>
      <c r="R111" s="27" t="str">
        <f t="shared" si="14"/>
        <v>121.875</v>
      </c>
      <c r="S111" s="27" t="str">
        <f t="shared" si="14"/>
        <v>172.5625</v>
      </c>
      <c r="T111" s="27" t="str">
        <f t="shared" si="14"/>
        <v>99.8125</v>
      </c>
      <c r="U111" s="27" t="str">
        <f t="shared" si="14"/>
        <v>21.25</v>
      </c>
    </row>
    <row r="112">
      <c r="A112" s="103" t="s">
        <v>48</v>
      </c>
      <c r="B112" s="104" t="str">
        <f t="shared" ref="B112:C112" si="15">10000*16/B111</f>
        <v>1603.005636</v>
      </c>
      <c r="C112" s="104" t="str">
        <f t="shared" si="15"/>
        <v>7529.411765</v>
      </c>
      <c r="D112" s="104" t="str">
        <f t="shared" ref="D112:E112" si="16">10000*1024*16/D111</f>
        <v>479502.4694</v>
      </c>
      <c r="E112" s="104" t="str">
        <f t="shared" si="16"/>
        <v>5985022.831</v>
      </c>
      <c r="F112" s="104" t="str">
        <f t="shared" ref="F112:G112" si="17">1000*16*10240/F111</f>
        <v>7426175.637</v>
      </c>
      <c r="G112" s="104" t="str">
        <f t="shared" si="17"/>
        <v>26214400</v>
      </c>
      <c r="H112" s="104" t="str">
        <f t="shared" ref="H112:I112" si="18">1000*16*102400/H111</f>
        <v>64567487.68</v>
      </c>
      <c r="I112" s="104" t="str">
        <f t="shared" si="18"/>
        <v>244994392.5</v>
      </c>
      <c r="J112" s="104" t="str">
        <f t="shared" ref="J112:K112" si="19">1000*16*1024000/J111</f>
        <v>478364963.5</v>
      </c>
      <c r="K112" s="104" t="str">
        <f t="shared" si="19"/>
        <v>1628223602</v>
      </c>
      <c r="L112" s="104" t="str">
        <f t="shared" ref="L112:M112" si="20">1000*16*10240000/L111</f>
        <v>1229568480</v>
      </c>
      <c r="M112" s="104" t="str">
        <f t="shared" si="20"/>
        <v>981812734.1</v>
      </c>
      <c r="N112" s="104" t="str">
        <f t="shared" ref="N112:O112" si="21">100*16*102400000/N111</f>
        <v>1380431806</v>
      </c>
      <c r="O112" s="104" t="str">
        <f t="shared" si="21"/>
        <v>958128655</v>
      </c>
      <c r="P112" s="104" t="str">
        <f t="shared" ref="P112:Q112" si="22">10*16*1024000000/P111</f>
        <v>1206369075</v>
      </c>
      <c r="Q112" s="104" t="str">
        <f t="shared" si="22"/>
        <v>955335277</v>
      </c>
      <c r="R112" s="104" t="str">
        <f t="shared" ref="R112:S112" si="23">1*16*10240000000/R111</f>
        <v>1344328205</v>
      </c>
      <c r="S112" s="104" t="str">
        <f t="shared" si="23"/>
        <v>949453096.7</v>
      </c>
      <c r="T112" s="104" t="str">
        <f t="shared" ref="T112:U112" si="24">10000*16/T111</f>
        <v>1603.005636</v>
      </c>
      <c r="U112" s="104" t="str">
        <f t="shared" si="24"/>
        <v>7529.411765</v>
      </c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</row>
    <row r="113">
      <c r="A113" s="103" t="s">
        <v>65</v>
      </c>
      <c r="B113" s="71"/>
      <c r="C113" s="71"/>
      <c r="D113" s="104" t="str">
        <f t="shared" ref="D113:S113" si="25">D112/1024/1024</f>
        <v>0.4572891897</v>
      </c>
      <c r="E113" s="104" t="str">
        <f t="shared" si="25"/>
        <v>5.707762557</v>
      </c>
      <c r="F113" s="104" t="str">
        <f t="shared" si="25"/>
        <v>7.082152975</v>
      </c>
      <c r="G113" s="104" t="str">
        <f t="shared" si="25"/>
        <v>25</v>
      </c>
      <c r="H113" s="104" t="str">
        <f t="shared" si="25"/>
        <v>61.57635468</v>
      </c>
      <c r="I113" s="104" t="str">
        <f t="shared" si="25"/>
        <v>233.6448598</v>
      </c>
      <c r="J113" s="104" t="str">
        <f t="shared" si="25"/>
        <v>456.2043796</v>
      </c>
      <c r="K113" s="104" t="str">
        <f t="shared" si="25"/>
        <v>1552.795031</v>
      </c>
      <c r="L113" s="104" t="str">
        <f t="shared" si="25"/>
        <v>1172.60788</v>
      </c>
      <c r="M113" s="104" t="str">
        <f t="shared" si="25"/>
        <v>936.329588</v>
      </c>
      <c r="N113" s="104" t="str">
        <f t="shared" si="25"/>
        <v>1316.482359</v>
      </c>
      <c r="O113" s="104" t="str">
        <f t="shared" si="25"/>
        <v>913.7426901</v>
      </c>
      <c r="P113" s="104" t="str">
        <f t="shared" si="25"/>
        <v>1150.483203</v>
      </c>
      <c r="Q113" s="104" t="str">
        <f t="shared" si="25"/>
        <v>911.0787172</v>
      </c>
      <c r="R113" s="104" t="str">
        <f t="shared" si="25"/>
        <v>1282.051282</v>
      </c>
      <c r="S113" s="104" t="str">
        <f t="shared" si="25"/>
        <v>905.469033</v>
      </c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</row>
    <row r="115">
      <c r="C115" s="98" t="s">
        <v>55</v>
      </c>
      <c r="D115" s="76" t="s">
        <v>56</v>
      </c>
      <c r="F115" s="76" t="s">
        <v>57</v>
      </c>
      <c r="H115" s="76" t="s">
        <v>58</v>
      </c>
      <c r="J115" s="76" t="s">
        <v>59</v>
      </c>
      <c r="L115" s="76" t="s">
        <v>60</v>
      </c>
      <c r="N115" s="76" t="s">
        <v>61</v>
      </c>
      <c r="P115" s="76" t="s">
        <v>62</v>
      </c>
      <c r="R115" s="76" t="s">
        <v>63</v>
      </c>
      <c r="T115" s="76" t="s">
        <v>64</v>
      </c>
    </row>
    <row r="116">
      <c r="C116" s="99" t="s">
        <v>52</v>
      </c>
      <c r="D116" s="77">
        <v>10000.0</v>
      </c>
      <c r="F116" s="77">
        <v>1000.0</v>
      </c>
      <c r="H116" s="77">
        <v>1000.0</v>
      </c>
      <c r="J116" s="77">
        <v>1000.0</v>
      </c>
      <c r="L116" s="77">
        <v>1000.0</v>
      </c>
      <c r="N116" s="77">
        <v>100.0</v>
      </c>
      <c r="P116" s="77">
        <v>10.0</v>
      </c>
      <c r="R116" s="77">
        <v>1.0</v>
      </c>
      <c r="T116" s="77">
        <v>10000.0</v>
      </c>
    </row>
    <row r="117">
      <c r="C117" s="100" t="s">
        <v>53</v>
      </c>
      <c r="D117" s="75" t="s">
        <v>16</v>
      </c>
      <c r="E117" s="75" t="s">
        <v>0</v>
      </c>
      <c r="F117" s="75" t="s">
        <v>16</v>
      </c>
      <c r="G117" s="75" t="s">
        <v>0</v>
      </c>
      <c r="H117" s="75" t="s">
        <v>16</v>
      </c>
      <c r="I117" s="75" t="s">
        <v>0</v>
      </c>
      <c r="J117" s="75" t="s">
        <v>16</v>
      </c>
      <c r="K117" s="75" t="s">
        <v>0</v>
      </c>
      <c r="L117" s="75" t="s">
        <v>16</v>
      </c>
      <c r="M117" s="75" t="s">
        <v>0</v>
      </c>
      <c r="N117" s="75" t="s">
        <v>16</v>
      </c>
      <c r="O117" s="75" t="s">
        <v>0</v>
      </c>
      <c r="P117" s="75" t="s">
        <v>16</v>
      </c>
      <c r="Q117" s="75" t="s">
        <v>0</v>
      </c>
      <c r="R117" s="75" t="s">
        <v>16</v>
      </c>
      <c r="S117" s="75" t="s">
        <v>0</v>
      </c>
      <c r="T117" s="75" t="s">
        <v>16</v>
      </c>
      <c r="U117" s="75" t="s">
        <v>0</v>
      </c>
    </row>
    <row r="118">
      <c r="C118" s="27">
        <v>1.0</v>
      </c>
      <c r="D118" s="27">
        <v>133.0</v>
      </c>
      <c r="E118" s="27">
        <v>22.0</v>
      </c>
      <c r="F118" s="27">
        <v>17.0</v>
      </c>
      <c r="G118" s="27">
        <v>5.0</v>
      </c>
      <c r="H118" s="27">
        <v>15.0</v>
      </c>
      <c r="I118" s="27">
        <v>7.0</v>
      </c>
      <c r="J118" s="27">
        <v>21.0</v>
      </c>
      <c r="K118" s="27">
        <v>10.0</v>
      </c>
      <c r="L118" s="27">
        <v>141.0</v>
      </c>
      <c r="M118" s="27">
        <v>193.0</v>
      </c>
      <c r="N118" s="27">
        <v>113.0</v>
      </c>
      <c r="O118" s="27">
        <v>162.0</v>
      </c>
      <c r="P118" s="27">
        <v>130.0</v>
      </c>
      <c r="Q118" s="27">
        <v>182.0</v>
      </c>
      <c r="R118" s="27">
        <v>135.0</v>
      </c>
      <c r="S118" s="27">
        <v>189.0</v>
      </c>
      <c r="T118" s="27">
        <v>73.0</v>
      </c>
      <c r="U118" s="27">
        <v>16.0</v>
      </c>
    </row>
    <row r="119">
      <c r="C119" s="27">
        <v>2.0</v>
      </c>
      <c r="D119" s="27">
        <v>118.0</v>
      </c>
      <c r="E119" s="27">
        <v>22.0</v>
      </c>
      <c r="F119" s="27">
        <v>17.0</v>
      </c>
      <c r="G119" s="27">
        <v>5.0</v>
      </c>
      <c r="H119" s="27">
        <v>19.0</v>
      </c>
      <c r="I119" s="27">
        <v>6.0</v>
      </c>
      <c r="J119" s="27">
        <v>22.0</v>
      </c>
      <c r="K119" s="27">
        <v>15.0</v>
      </c>
      <c r="L119" s="27">
        <v>138.0</v>
      </c>
      <c r="M119" s="27">
        <v>196.0</v>
      </c>
      <c r="N119" s="27">
        <v>114.0</v>
      </c>
      <c r="O119" s="27">
        <v>163.0</v>
      </c>
      <c r="P119" s="27">
        <v>129.0</v>
      </c>
      <c r="Q119" s="27">
        <v>181.0</v>
      </c>
      <c r="R119" s="27">
        <v>124.0</v>
      </c>
      <c r="S119" s="27">
        <v>178.0</v>
      </c>
      <c r="T119" s="27">
        <v>74.0</v>
      </c>
      <c r="U119" s="27">
        <v>15.0</v>
      </c>
    </row>
    <row r="120">
      <c r="C120" s="27">
        <v>3.0</v>
      </c>
      <c r="D120" s="27">
        <v>125.0</v>
      </c>
      <c r="E120" s="27">
        <v>22.0</v>
      </c>
      <c r="F120" s="27">
        <v>18.0</v>
      </c>
      <c r="G120" s="27">
        <v>6.0</v>
      </c>
      <c r="H120" s="27">
        <v>19.0</v>
      </c>
      <c r="I120" s="27">
        <v>6.0</v>
      </c>
      <c r="J120" s="27">
        <v>35.0</v>
      </c>
      <c r="K120" s="27">
        <v>12.0</v>
      </c>
      <c r="L120" s="27">
        <v>139.0</v>
      </c>
      <c r="M120" s="27">
        <v>192.0</v>
      </c>
      <c r="N120" s="27">
        <v>113.0</v>
      </c>
      <c r="O120" s="27">
        <v>161.0</v>
      </c>
      <c r="P120" s="27">
        <v>126.0</v>
      </c>
      <c r="Q120" s="27">
        <v>184.0</v>
      </c>
      <c r="R120" s="27">
        <v>133.0</v>
      </c>
      <c r="S120" s="27">
        <v>187.0</v>
      </c>
      <c r="T120" s="27">
        <v>73.0</v>
      </c>
      <c r="U120" s="27">
        <v>16.0</v>
      </c>
    </row>
    <row r="121">
      <c r="C121" s="27">
        <v>4.0</v>
      </c>
      <c r="D121" s="27">
        <v>162.0</v>
      </c>
      <c r="E121" s="27">
        <v>23.0</v>
      </c>
      <c r="F121" s="27">
        <v>17.0</v>
      </c>
      <c r="G121" s="27">
        <v>6.0</v>
      </c>
      <c r="H121" s="27">
        <v>26.0</v>
      </c>
      <c r="I121" s="27">
        <v>7.0</v>
      </c>
      <c r="J121" s="27">
        <v>31.0</v>
      </c>
      <c r="K121" s="27">
        <v>11.0</v>
      </c>
      <c r="L121" s="27">
        <v>147.0</v>
      </c>
      <c r="M121" s="27">
        <v>193.0</v>
      </c>
      <c r="N121" s="27">
        <v>117.0</v>
      </c>
      <c r="O121" s="27">
        <v>161.0</v>
      </c>
      <c r="P121" s="27">
        <v>149.0</v>
      </c>
      <c r="Q121" s="27">
        <v>202.0</v>
      </c>
      <c r="R121" s="27">
        <v>138.0</v>
      </c>
      <c r="S121" s="27">
        <v>192.0</v>
      </c>
      <c r="T121" s="27">
        <v>75.0</v>
      </c>
      <c r="U121" s="27">
        <v>16.0</v>
      </c>
    </row>
    <row r="122">
      <c r="A122" s="27" t="s">
        <v>47</v>
      </c>
      <c r="B122" t="str">
        <f t="shared" ref="B122:C122" si="26">AVERAGEA(T118:T121)</f>
        <v>73.75</v>
      </c>
      <c r="C122" t="str">
        <f t="shared" si="26"/>
        <v>15.75</v>
      </c>
      <c r="D122" t="str">
        <f t="shared" ref="D122:U122" si="27">AVERAGEA(D118:D121)</f>
        <v>134.5</v>
      </c>
      <c r="E122" t="str">
        <f t="shared" si="27"/>
        <v>22.25</v>
      </c>
      <c r="F122" t="str">
        <f t="shared" si="27"/>
        <v>17.25</v>
      </c>
      <c r="G122" t="str">
        <f t="shared" si="27"/>
        <v>5.5</v>
      </c>
      <c r="H122" t="str">
        <f t="shared" si="27"/>
        <v>19.75</v>
      </c>
      <c r="I122" t="str">
        <f t="shared" si="27"/>
        <v>6.5</v>
      </c>
      <c r="J122" t="str">
        <f t="shared" si="27"/>
        <v>27.25</v>
      </c>
      <c r="K122" t="str">
        <f t="shared" si="27"/>
        <v>12</v>
      </c>
      <c r="L122" t="str">
        <f t="shared" si="27"/>
        <v>141.25</v>
      </c>
      <c r="M122" t="str">
        <f t="shared" si="27"/>
        <v>193.5</v>
      </c>
      <c r="N122" t="str">
        <f t="shared" si="27"/>
        <v>114.25</v>
      </c>
      <c r="O122" t="str">
        <f t="shared" si="27"/>
        <v>161.75</v>
      </c>
      <c r="P122" t="str">
        <f t="shared" si="27"/>
        <v>133.5</v>
      </c>
      <c r="Q122" t="str">
        <f t="shared" si="27"/>
        <v>187.25</v>
      </c>
      <c r="R122" t="str">
        <f t="shared" si="27"/>
        <v>132.5</v>
      </c>
      <c r="S122" t="str">
        <f t="shared" si="27"/>
        <v>186.5</v>
      </c>
      <c r="T122" t="str">
        <f t="shared" si="27"/>
        <v>73.75</v>
      </c>
      <c r="U122" t="str">
        <f t="shared" si="27"/>
        <v>15.75</v>
      </c>
    </row>
    <row r="123">
      <c r="A123" s="103" t="s">
        <v>48</v>
      </c>
      <c r="B123" s="104" t="str">
        <f t="shared" ref="B123:C123" si="28">10000*4/B122</f>
        <v>542.3728814</v>
      </c>
      <c r="C123" s="104" t="str">
        <f t="shared" si="28"/>
        <v>2539.68254</v>
      </c>
      <c r="D123" s="104" t="str">
        <f t="shared" ref="D123:E123" si="29">10000*1024*4/D122</f>
        <v>304535.316</v>
      </c>
      <c r="E123" s="104" t="str">
        <f t="shared" si="29"/>
        <v>1840898.876</v>
      </c>
      <c r="F123" s="104" t="str">
        <f t="shared" ref="F123:G123" si="30">1000*4*10240/F122</f>
        <v>2374492.754</v>
      </c>
      <c r="G123" s="104" t="str">
        <f t="shared" si="30"/>
        <v>7447272.727</v>
      </c>
      <c r="H123" s="104" t="str">
        <f t="shared" ref="H123:I123" si="31">1000*4*102400/H122</f>
        <v>20739240.51</v>
      </c>
      <c r="I123" s="104" t="str">
        <f t="shared" si="31"/>
        <v>63015384.62</v>
      </c>
      <c r="J123" s="104" t="str">
        <f t="shared" ref="J123:K123" si="32">1000*4*1024000/J122</f>
        <v>150311926.6</v>
      </c>
      <c r="K123" s="104" t="str">
        <f t="shared" si="32"/>
        <v>341333333.3</v>
      </c>
      <c r="L123" s="104" t="str">
        <f t="shared" ref="L123:M123" si="33">1000*4*10240000/L122</f>
        <v>289982300.9</v>
      </c>
      <c r="M123" s="104" t="str">
        <f t="shared" si="33"/>
        <v>211679586.6</v>
      </c>
      <c r="N123" s="104" t="str">
        <f t="shared" ref="N123:O123" si="34">100*4*102400000/N122</f>
        <v>358512035</v>
      </c>
      <c r="O123" s="104" t="str">
        <f t="shared" si="34"/>
        <v>253230293.7</v>
      </c>
      <c r="P123" s="104" t="str">
        <f t="shared" ref="P123:Q123" si="35">10*4*1024000000/P122</f>
        <v>306816479.4</v>
      </c>
      <c r="Q123" s="104" t="str">
        <f t="shared" si="35"/>
        <v>218744993.3</v>
      </c>
      <c r="R123" s="104" t="str">
        <f t="shared" ref="R123:S123" si="36">1*4*10240000000/R122</f>
        <v>309132075.5</v>
      </c>
      <c r="S123" s="104" t="str">
        <f t="shared" si="36"/>
        <v>219624664.9</v>
      </c>
      <c r="T123" s="104" t="str">
        <f t="shared" ref="T123:U123" si="37">10000*4/T122</f>
        <v>542.3728814</v>
      </c>
      <c r="U123" s="104" t="str">
        <f t="shared" si="37"/>
        <v>2539.68254</v>
      </c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</row>
    <row r="124">
      <c r="A124" s="103" t="s">
        <v>65</v>
      </c>
      <c r="B124" s="71"/>
      <c r="C124" s="71"/>
      <c r="D124" s="104" t="str">
        <f t="shared" ref="D124:S124" si="38">D123/1024/1024</f>
        <v>0.2904275093</v>
      </c>
      <c r="E124" s="104" t="str">
        <f t="shared" si="38"/>
        <v>1.755617978</v>
      </c>
      <c r="F124" s="104" t="str">
        <f t="shared" si="38"/>
        <v>2.264492754</v>
      </c>
      <c r="G124" s="104" t="str">
        <f t="shared" si="38"/>
        <v>7.102272727</v>
      </c>
      <c r="H124" s="104" t="str">
        <f t="shared" si="38"/>
        <v>19.77848101</v>
      </c>
      <c r="I124" s="104" t="str">
        <f t="shared" si="38"/>
        <v>60.09615385</v>
      </c>
      <c r="J124" s="104" t="str">
        <f t="shared" si="38"/>
        <v>143.3486239</v>
      </c>
      <c r="K124" s="104" t="str">
        <f t="shared" si="38"/>
        <v>325.5208333</v>
      </c>
      <c r="L124" s="104" t="str">
        <f t="shared" si="38"/>
        <v>276.5486726</v>
      </c>
      <c r="M124" s="104" t="str">
        <f t="shared" si="38"/>
        <v>201.873385</v>
      </c>
      <c r="N124" s="104" t="str">
        <f t="shared" si="38"/>
        <v>341.9037199</v>
      </c>
      <c r="O124" s="104" t="str">
        <f t="shared" si="38"/>
        <v>241.4992272</v>
      </c>
      <c r="P124" s="104" t="str">
        <f t="shared" si="38"/>
        <v>292.6029963</v>
      </c>
      <c r="Q124" s="104" t="str">
        <f t="shared" si="38"/>
        <v>208.611482</v>
      </c>
      <c r="R124" s="104" t="str">
        <f t="shared" si="38"/>
        <v>294.8113208</v>
      </c>
      <c r="S124" s="104" t="str">
        <f t="shared" si="38"/>
        <v>209.4504021</v>
      </c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</row>
    <row r="126">
      <c r="A126" s="98" t="s">
        <v>55</v>
      </c>
      <c r="B126" s="76" t="s">
        <v>64</v>
      </c>
      <c r="D126" s="76" t="s">
        <v>56</v>
      </c>
      <c r="F126" s="76" t="s">
        <v>57</v>
      </c>
      <c r="H126" s="76" t="s">
        <v>58</v>
      </c>
      <c r="J126" s="76" t="s">
        <v>59</v>
      </c>
      <c r="L126" s="76" t="s">
        <v>60</v>
      </c>
      <c r="N126" s="76" t="s">
        <v>61</v>
      </c>
      <c r="P126" s="76" t="s">
        <v>62</v>
      </c>
      <c r="R126" s="76" t="s">
        <v>63</v>
      </c>
    </row>
    <row r="127">
      <c r="A127" s="99" t="s">
        <v>52</v>
      </c>
      <c r="B127" s="77">
        <v>10000.0</v>
      </c>
      <c r="D127" s="77">
        <v>10000.0</v>
      </c>
      <c r="F127" s="77">
        <v>1000.0</v>
      </c>
      <c r="H127" s="77">
        <v>1000.0</v>
      </c>
      <c r="J127" s="77">
        <v>1000.0</v>
      </c>
      <c r="L127" s="77">
        <v>1000.0</v>
      </c>
      <c r="N127" s="77">
        <v>100.0</v>
      </c>
      <c r="P127" s="77">
        <v>10.0</v>
      </c>
      <c r="R127" s="77">
        <v>1.0</v>
      </c>
    </row>
    <row r="128">
      <c r="A128" s="100" t="s">
        <v>53</v>
      </c>
      <c r="B128" s="75" t="s">
        <v>16</v>
      </c>
      <c r="C128" s="75" t="s">
        <v>0</v>
      </c>
      <c r="D128" s="75" t="s">
        <v>16</v>
      </c>
      <c r="E128" s="75" t="s">
        <v>0</v>
      </c>
      <c r="F128" s="75" t="s">
        <v>16</v>
      </c>
      <c r="G128" s="75" t="s">
        <v>0</v>
      </c>
      <c r="H128" s="75" t="s">
        <v>16</v>
      </c>
      <c r="I128" s="75" t="s">
        <v>0</v>
      </c>
      <c r="J128" s="75" t="s">
        <v>16</v>
      </c>
      <c r="K128" s="75" t="s">
        <v>0</v>
      </c>
      <c r="L128" s="75" t="s">
        <v>16</v>
      </c>
      <c r="M128" s="75" t="s">
        <v>0</v>
      </c>
      <c r="N128" s="75" t="s">
        <v>16</v>
      </c>
      <c r="O128" s="75" t="s">
        <v>0</v>
      </c>
      <c r="P128" s="75" t="s">
        <v>16</v>
      </c>
      <c r="Q128" s="75" t="s">
        <v>0</v>
      </c>
      <c r="R128" s="75" t="s">
        <v>16</v>
      </c>
      <c r="S128" s="75" t="s">
        <v>0</v>
      </c>
    </row>
    <row r="129">
      <c r="A129" s="27">
        <v>1.0</v>
      </c>
      <c r="B129" s="27">
        <v>63.0</v>
      </c>
      <c r="C129" s="27">
        <v>15.0</v>
      </c>
      <c r="D129" s="27">
        <v>102.0</v>
      </c>
      <c r="E129" s="27">
        <v>21.0</v>
      </c>
      <c r="F129" s="27">
        <v>18.0</v>
      </c>
      <c r="G129" s="27">
        <v>6.0</v>
      </c>
      <c r="H129" s="27">
        <v>23.0</v>
      </c>
      <c r="I129" s="27">
        <v>6.0</v>
      </c>
      <c r="J129" s="27">
        <v>28.0</v>
      </c>
      <c r="K129" s="27">
        <v>11.0</v>
      </c>
      <c r="L129" s="27">
        <v>589.0</v>
      </c>
      <c r="M129" s="27">
        <v>195.0</v>
      </c>
      <c r="N129" s="27"/>
      <c r="O129" s="27"/>
      <c r="P129" s="27"/>
      <c r="Q129" s="27"/>
      <c r="R129" s="27"/>
      <c r="S129" s="27"/>
    </row>
    <row r="130">
      <c r="A130" s="103" t="s">
        <v>48</v>
      </c>
      <c r="B130" s="104" t="str">
        <f t="shared" ref="B130:C130" si="39">10000*1/B129</f>
        <v>158.7301587</v>
      </c>
      <c r="C130" s="104" t="str">
        <f t="shared" si="39"/>
        <v>666.6666667</v>
      </c>
      <c r="D130" s="104" t="str">
        <f t="shared" ref="D130:E130" si="40">10000*1024*1/D129</f>
        <v>100392.1569</v>
      </c>
      <c r="E130" s="104" t="str">
        <f t="shared" si="40"/>
        <v>487619.0476</v>
      </c>
      <c r="F130" s="104" t="str">
        <f t="shared" ref="F130:G130" si="41">1000*1*10240/F129</f>
        <v>568888.8889</v>
      </c>
      <c r="G130" s="104" t="str">
        <f t="shared" si="41"/>
        <v>1706666.667</v>
      </c>
      <c r="H130" s="104" t="str">
        <f t="shared" ref="H130:I130" si="42">1000*1*102400/H129</f>
        <v>4452173.913</v>
      </c>
      <c r="I130" s="104" t="str">
        <f t="shared" si="42"/>
        <v>17066666.67</v>
      </c>
      <c r="J130" s="104" t="str">
        <f t="shared" ref="J130:K130" si="43">1000*1*1024000/J129</f>
        <v>36571428.57</v>
      </c>
      <c r="K130" s="104" t="str">
        <f t="shared" si="43"/>
        <v>93090909.09</v>
      </c>
      <c r="L130" s="104" t="str">
        <f t="shared" ref="L130:M130" si="44">1000*1*10240000/L129</f>
        <v>17385398.98</v>
      </c>
      <c r="M130" s="104" t="str">
        <f t="shared" si="44"/>
        <v>52512820.51</v>
      </c>
      <c r="N130" s="104" t="str">
        <f t="shared" ref="N130:O130" si="45">100*16*102400000/N129</f>
        <v>#DIV/0!</v>
      </c>
      <c r="O130" s="104" t="str">
        <f t="shared" si="45"/>
        <v>#DIV/0!</v>
      </c>
      <c r="P130" s="104" t="str">
        <f t="shared" ref="P130:Q130" si="46">10*16*1024000000/P129</f>
        <v>#DIV/0!</v>
      </c>
      <c r="Q130" s="104" t="str">
        <f t="shared" si="46"/>
        <v>#DIV/0!</v>
      </c>
      <c r="R130" s="104" t="str">
        <f t="shared" ref="R130:S130" si="47">1*16*10240000000/R129</f>
        <v>#DIV/0!</v>
      </c>
      <c r="S130" s="104" t="str">
        <f t="shared" si="47"/>
        <v>#DIV/0!</v>
      </c>
      <c r="T130" s="104" t="str">
        <f>10000*16/T129</f>
        <v>#DIV/0!</v>
      </c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</row>
    <row r="131">
      <c r="A131" s="103" t="s">
        <v>65</v>
      </c>
      <c r="B131" s="71"/>
      <c r="C131" s="71"/>
      <c r="D131" s="104" t="str">
        <f t="shared" ref="D131:S131" si="48">D130/1024/1024</f>
        <v>0.09574142157</v>
      </c>
      <c r="E131" s="104" t="str">
        <f t="shared" si="48"/>
        <v>0.4650297619</v>
      </c>
      <c r="F131" s="104" t="str">
        <f t="shared" si="48"/>
        <v>0.5425347222</v>
      </c>
      <c r="G131" s="104" t="str">
        <f t="shared" si="48"/>
        <v>1.627604167</v>
      </c>
      <c r="H131" s="104" t="str">
        <f t="shared" si="48"/>
        <v>4.245923913</v>
      </c>
      <c r="I131" s="104" t="str">
        <f t="shared" si="48"/>
        <v>16.27604167</v>
      </c>
      <c r="J131" s="104" t="str">
        <f t="shared" si="48"/>
        <v>34.87723214</v>
      </c>
      <c r="K131" s="104" t="str">
        <f t="shared" si="48"/>
        <v>88.77840909</v>
      </c>
      <c r="L131" s="104" t="str">
        <f t="shared" si="48"/>
        <v>16.58000849</v>
      </c>
      <c r="M131" s="104" t="str">
        <f t="shared" si="48"/>
        <v>50.08012821</v>
      </c>
      <c r="N131" s="104" t="str">
        <f t="shared" si="48"/>
        <v>#DIV/0!</v>
      </c>
      <c r="O131" s="104" t="str">
        <f t="shared" si="48"/>
        <v>#DIV/0!</v>
      </c>
      <c r="P131" s="104" t="str">
        <f t="shared" si="48"/>
        <v>#DIV/0!</v>
      </c>
      <c r="Q131" s="104" t="str">
        <f t="shared" si="48"/>
        <v>#DIV/0!</v>
      </c>
      <c r="R131" s="104" t="str">
        <f t="shared" si="48"/>
        <v>#DIV/0!</v>
      </c>
      <c r="S131" s="104" t="str">
        <f t="shared" si="48"/>
        <v>#DIV/0!</v>
      </c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</sheetData>
  <mergeCells count="78">
    <mergeCell ref="F126:G126"/>
    <mergeCell ref="H126:I126"/>
    <mergeCell ref="H127:I127"/>
    <mergeCell ref="F127:G127"/>
    <mergeCell ref="J127:K127"/>
    <mergeCell ref="D126:E126"/>
    <mergeCell ref="D127:E127"/>
    <mergeCell ref="B127:C127"/>
    <mergeCell ref="B126:C126"/>
    <mergeCell ref="N14:O14"/>
    <mergeCell ref="L14:M14"/>
    <mergeCell ref="T115:U115"/>
    <mergeCell ref="N115:O115"/>
    <mergeCell ref="R115:S115"/>
    <mergeCell ref="P115:Q115"/>
    <mergeCell ref="T116:U116"/>
    <mergeCell ref="R116:S116"/>
    <mergeCell ref="P93:Q93"/>
    <mergeCell ref="N93:O93"/>
    <mergeCell ref="T93:U93"/>
    <mergeCell ref="R93:S93"/>
    <mergeCell ref="T92:U92"/>
    <mergeCell ref="R92:S92"/>
    <mergeCell ref="N116:O116"/>
    <mergeCell ref="T14:U14"/>
    <mergeCell ref="R14:S14"/>
    <mergeCell ref="P14:Q14"/>
    <mergeCell ref="L92:M92"/>
    <mergeCell ref="L93:M93"/>
    <mergeCell ref="N15:O15"/>
    <mergeCell ref="R15:S15"/>
    <mergeCell ref="P15:Q15"/>
    <mergeCell ref="T15:U15"/>
    <mergeCell ref="L15:M15"/>
    <mergeCell ref="B6:E6"/>
    <mergeCell ref="B7:E7"/>
    <mergeCell ref="B5:C5"/>
    <mergeCell ref="J14:K14"/>
    <mergeCell ref="J15:K15"/>
    <mergeCell ref="D15:E15"/>
    <mergeCell ref="D14:E14"/>
    <mergeCell ref="I6:K6"/>
    <mergeCell ref="I5:K5"/>
    <mergeCell ref="I7:L7"/>
    <mergeCell ref="H92:I92"/>
    <mergeCell ref="H93:I93"/>
    <mergeCell ref="H14:I14"/>
    <mergeCell ref="F15:G15"/>
    <mergeCell ref="F14:G14"/>
    <mergeCell ref="H15:I15"/>
    <mergeCell ref="F93:G93"/>
    <mergeCell ref="J93:K93"/>
    <mergeCell ref="J115:K115"/>
    <mergeCell ref="H116:I116"/>
    <mergeCell ref="H115:I115"/>
    <mergeCell ref="J116:K116"/>
    <mergeCell ref="P116:Q116"/>
    <mergeCell ref="D115:E115"/>
    <mergeCell ref="F115:G115"/>
    <mergeCell ref="F116:G116"/>
    <mergeCell ref="D116:E116"/>
    <mergeCell ref="L115:M115"/>
    <mergeCell ref="L116:M116"/>
    <mergeCell ref="P127:Q127"/>
    <mergeCell ref="N127:O127"/>
    <mergeCell ref="L127:M127"/>
    <mergeCell ref="R127:S127"/>
    <mergeCell ref="R126:S126"/>
    <mergeCell ref="N126:O126"/>
    <mergeCell ref="F92:G92"/>
    <mergeCell ref="J92:K92"/>
    <mergeCell ref="J126:K126"/>
    <mergeCell ref="L126:M126"/>
    <mergeCell ref="P92:Q92"/>
    <mergeCell ref="N92:O92"/>
    <mergeCell ref="D92:E92"/>
    <mergeCell ref="D93:E93"/>
    <mergeCell ref="P126:Q1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27" t="s">
        <v>77</v>
      </c>
    </row>
    <row r="3">
      <c r="A3" s="27" t="s">
        <v>78</v>
      </c>
    </row>
    <row r="5">
      <c r="A5" s="105" t="s">
        <v>79</v>
      </c>
      <c r="B5" s="8"/>
      <c r="C5" s="8"/>
      <c r="D5" s="8"/>
      <c r="E5" s="9"/>
      <c r="F5" s="78"/>
      <c r="G5" s="105" t="s">
        <v>80</v>
      </c>
      <c r="H5" s="8"/>
      <c r="I5" s="8"/>
      <c r="J5" s="8"/>
      <c r="K5" s="9"/>
    </row>
    <row r="6">
      <c r="A6" s="106" t="s">
        <v>73</v>
      </c>
      <c r="B6" s="94" t="s">
        <v>43</v>
      </c>
      <c r="C6" s="94" t="s">
        <v>44</v>
      </c>
      <c r="D6" s="94" t="s">
        <v>45</v>
      </c>
      <c r="E6" s="94" t="s">
        <v>46</v>
      </c>
      <c r="F6" s="78"/>
      <c r="G6" s="94" t="s">
        <v>73</v>
      </c>
      <c r="H6" s="94" t="s">
        <v>43</v>
      </c>
      <c r="I6" s="94" t="s">
        <v>44</v>
      </c>
      <c r="J6" s="94" t="s">
        <v>45</v>
      </c>
      <c r="K6" s="94" t="s">
        <v>46</v>
      </c>
    </row>
    <row r="7">
      <c r="A7" s="107">
        <v>1.0</v>
      </c>
      <c r="B7" s="108"/>
      <c r="C7" s="86" t="s">
        <v>75</v>
      </c>
      <c r="D7" s="86" t="s">
        <v>75</v>
      </c>
      <c r="E7" s="86" t="s">
        <v>75</v>
      </c>
      <c r="F7" s="78"/>
      <c r="G7" s="97">
        <v>1.0</v>
      </c>
      <c r="H7" s="108"/>
      <c r="I7" s="86" t="s">
        <v>75</v>
      </c>
      <c r="J7" s="86" t="s">
        <v>75</v>
      </c>
      <c r="K7" s="86" t="s">
        <v>75</v>
      </c>
    </row>
    <row r="8">
      <c r="A8" s="107">
        <v>2.0</v>
      </c>
      <c r="B8" s="108"/>
      <c r="C8" s="108"/>
      <c r="D8" s="86" t="s">
        <v>75</v>
      </c>
      <c r="E8" s="86" t="s">
        <v>75</v>
      </c>
      <c r="F8" s="78"/>
      <c r="G8" s="97">
        <v>2.0</v>
      </c>
      <c r="H8" s="108"/>
      <c r="I8" s="108"/>
      <c r="J8" s="86" t="s">
        <v>75</v>
      </c>
      <c r="K8" s="86" t="s">
        <v>75</v>
      </c>
    </row>
    <row r="9">
      <c r="A9" s="107">
        <v>4.0</v>
      </c>
      <c r="B9" s="108"/>
      <c r="C9" s="108"/>
      <c r="D9" s="108"/>
      <c r="E9" s="108"/>
      <c r="F9" s="78"/>
      <c r="G9" s="97">
        <v>4.0</v>
      </c>
      <c r="H9" s="108"/>
      <c r="I9" s="108"/>
      <c r="J9" s="108"/>
      <c r="K9" s="108"/>
    </row>
    <row r="12">
      <c r="F12" s="109"/>
      <c r="J12" s="109"/>
    </row>
    <row r="13">
      <c r="A13" s="24" t="s">
        <v>81</v>
      </c>
      <c r="C13" s="47" t="s">
        <v>51</v>
      </c>
      <c r="D13" s="110" t="s">
        <v>82</v>
      </c>
      <c r="E13" s="8"/>
      <c r="F13" s="110" t="s">
        <v>83</v>
      </c>
      <c r="G13" s="8"/>
      <c r="H13" s="110" t="s">
        <v>84</v>
      </c>
      <c r="I13" s="8"/>
      <c r="J13" s="110" t="s">
        <v>85</v>
      </c>
      <c r="K13" s="8"/>
      <c r="L13" s="110" t="s">
        <v>86</v>
      </c>
      <c r="M13" s="8"/>
      <c r="N13" s="110" t="s">
        <v>87</v>
      </c>
      <c r="O13" s="8"/>
      <c r="P13" s="110" t="s">
        <v>88</v>
      </c>
      <c r="Q13" s="9"/>
      <c r="R13" s="110" t="s">
        <v>89</v>
      </c>
      <c r="S13" s="9"/>
      <c r="T13" s="111" t="s">
        <v>90</v>
      </c>
      <c r="U13" s="21" t="s">
        <v>91</v>
      </c>
      <c r="V13" s="9"/>
    </row>
    <row r="14">
      <c r="A14" s="24" t="s">
        <v>92</v>
      </c>
      <c r="C14" s="49" t="s">
        <v>52</v>
      </c>
      <c r="D14" s="110">
        <v>10000.0</v>
      </c>
      <c r="E14" s="8"/>
      <c r="F14" s="110">
        <v>1000.0</v>
      </c>
      <c r="G14" s="8"/>
      <c r="H14" s="110">
        <v>1000.0</v>
      </c>
      <c r="I14" s="8"/>
      <c r="J14" s="110">
        <v>1000.0</v>
      </c>
      <c r="K14" s="8"/>
      <c r="L14" s="110">
        <v>1000.0</v>
      </c>
      <c r="M14" s="8"/>
      <c r="N14" s="110">
        <v>100.0</v>
      </c>
      <c r="O14" s="8"/>
      <c r="P14" s="110">
        <v>10.0</v>
      </c>
      <c r="Q14" s="9"/>
      <c r="R14" s="110">
        <v>1.0</v>
      </c>
      <c r="S14" s="9"/>
      <c r="T14" s="111" t="s">
        <v>93</v>
      </c>
      <c r="U14" s="110">
        <v>10000.0</v>
      </c>
      <c r="V14" s="9"/>
    </row>
    <row r="15">
      <c r="A15" s="112"/>
      <c r="C15" s="51" t="s">
        <v>53</v>
      </c>
      <c r="D15" s="43" t="s">
        <v>16</v>
      </c>
      <c r="E15" s="43" t="s">
        <v>0</v>
      </c>
      <c r="F15" s="43" t="s">
        <v>16</v>
      </c>
      <c r="G15" s="43" t="s">
        <v>0</v>
      </c>
      <c r="H15" s="43" t="s">
        <v>16</v>
      </c>
      <c r="I15" s="43" t="s">
        <v>0</v>
      </c>
      <c r="J15" s="43" t="s">
        <v>16</v>
      </c>
      <c r="K15" s="43" t="s">
        <v>0</v>
      </c>
      <c r="L15" s="43" t="s">
        <v>16</v>
      </c>
      <c r="M15" s="43" t="s">
        <v>0</v>
      </c>
      <c r="N15" s="43" t="s">
        <v>16</v>
      </c>
      <c r="O15" s="43" t="s">
        <v>0</v>
      </c>
      <c r="P15" s="43" t="s">
        <v>16</v>
      </c>
      <c r="Q15" s="43" t="s">
        <v>0</v>
      </c>
      <c r="R15" s="43" t="s">
        <v>16</v>
      </c>
      <c r="S15" s="43" t="s">
        <v>0</v>
      </c>
      <c r="T15" s="24" t="s">
        <v>94</v>
      </c>
      <c r="U15" s="43" t="s">
        <v>16</v>
      </c>
      <c r="V15" s="43" t="s">
        <v>0</v>
      </c>
      <c r="X15" s="113"/>
      <c r="Y15" s="114"/>
      <c r="Z15" s="114"/>
      <c r="AA15" s="114"/>
      <c r="AB15" s="114"/>
      <c r="AC15" s="114"/>
      <c r="AD15" s="115"/>
      <c r="AE15" s="115"/>
      <c r="AF15" s="115"/>
      <c r="AG15" s="115"/>
      <c r="AH15" s="115"/>
      <c r="AI15" s="115"/>
      <c r="AJ15" s="115"/>
      <c r="AK15" s="115"/>
    </row>
    <row r="16">
      <c r="A16" s="116" t="s">
        <v>43</v>
      </c>
      <c r="C16" s="53">
        <v>1.0</v>
      </c>
      <c r="D16" s="117">
        <v>52.733</v>
      </c>
      <c r="E16" s="117">
        <v>26.288</v>
      </c>
      <c r="F16" s="43">
        <v>4.591</v>
      </c>
      <c r="G16" s="118">
        <v>2.555</v>
      </c>
      <c r="H16" s="43">
        <v>6.584</v>
      </c>
      <c r="I16" s="43">
        <v>3.312</v>
      </c>
      <c r="J16" s="43">
        <v>26.521</v>
      </c>
      <c r="K16" s="43">
        <v>12.393</v>
      </c>
      <c r="L16" s="43">
        <v>228.256</v>
      </c>
      <c r="M16" s="43">
        <v>172.416</v>
      </c>
      <c r="N16" s="43">
        <v>216.395</v>
      </c>
      <c r="O16" s="43">
        <v>171.528</v>
      </c>
      <c r="P16" s="118">
        <v>211.332</v>
      </c>
      <c r="Q16" s="118">
        <v>193.424</v>
      </c>
      <c r="R16" s="24">
        <v>220.553</v>
      </c>
      <c r="S16" s="24">
        <v>193.594</v>
      </c>
      <c r="T16" s="24">
        <v>8.45</v>
      </c>
      <c r="U16" s="43">
        <v>50.769</v>
      </c>
      <c r="V16" s="43">
        <v>24.774</v>
      </c>
      <c r="X16" s="119"/>
      <c r="AD16" s="115"/>
      <c r="AE16" s="115"/>
      <c r="AF16" s="115"/>
      <c r="AG16" s="115"/>
      <c r="AH16" s="115"/>
      <c r="AI16" s="115"/>
      <c r="AJ16" s="115"/>
      <c r="AK16" s="115"/>
    </row>
    <row r="17">
      <c r="A17" s="116" t="s">
        <v>44</v>
      </c>
      <c r="C17" s="53">
        <v>2.0</v>
      </c>
      <c r="D17" s="117">
        <v>53.771</v>
      </c>
      <c r="E17" s="117">
        <v>26.475</v>
      </c>
      <c r="F17" s="43">
        <v>4.401</v>
      </c>
      <c r="G17" s="118">
        <v>2.533</v>
      </c>
      <c r="H17" s="118">
        <v>6.772</v>
      </c>
      <c r="I17" s="118">
        <v>3.268</v>
      </c>
      <c r="J17" s="118">
        <v>24.685</v>
      </c>
      <c r="K17" s="43">
        <v>16.89</v>
      </c>
      <c r="L17" s="43">
        <v>221.758</v>
      </c>
      <c r="M17" s="43">
        <v>172.471</v>
      </c>
      <c r="N17" s="43">
        <v>216.395</v>
      </c>
      <c r="O17" s="43">
        <v>168.365</v>
      </c>
      <c r="P17" s="118">
        <v>211.161</v>
      </c>
      <c r="Q17" s="118">
        <v>193.26</v>
      </c>
      <c r="R17" s="24">
        <v>218.674</v>
      </c>
      <c r="S17" s="24">
        <v>193.88</v>
      </c>
      <c r="T17" s="24">
        <v>8.376</v>
      </c>
      <c r="U17" s="43">
        <v>49.834</v>
      </c>
      <c r="V17" s="43">
        <v>25.227</v>
      </c>
      <c r="X17" s="119"/>
      <c r="AD17" s="115"/>
      <c r="AE17" s="115"/>
      <c r="AF17" s="115"/>
      <c r="AG17" s="115"/>
      <c r="AH17" s="115"/>
      <c r="AI17" s="115"/>
      <c r="AJ17" s="115"/>
      <c r="AK17" s="115"/>
    </row>
    <row r="18">
      <c r="A18" s="116" t="s">
        <v>45</v>
      </c>
      <c r="C18" s="53">
        <v>3.0</v>
      </c>
      <c r="D18" s="117">
        <v>51.079</v>
      </c>
      <c r="E18" s="117">
        <v>26.126</v>
      </c>
      <c r="F18" s="43">
        <v>4.644</v>
      </c>
      <c r="G18" s="118">
        <v>2.672</v>
      </c>
      <c r="H18" s="118">
        <v>6.462</v>
      </c>
      <c r="I18" s="118">
        <v>3.223</v>
      </c>
      <c r="J18" s="118">
        <v>24.371</v>
      </c>
      <c r="K18" s="43">
        <v>14.171</v>
      </c>
      <c r="L18" s="43">
        <v>223.367</v>
      </c>
      <c r="M18" s="43">
        <v>172.762</v>
      </c>
      <c r="N18" s="43">
        <v>220.933</v>
      </c>
      <c r="O18" s="43">
        <v>172.729</v>
      </c>
      <c r="P18" s="118">
        <v>213.76</v>
      </c>
      <c r="Q18" s="118">
        <v>193.339</v>
      </c>
      <c r="R18" s="24">
        <v>221.286</v>
      </c>
      <c r="S18" s="24">
        <v>192.12</v>
      </c>
      <c r="T18" s="24">
        <v>8.452</v>
      </c>
      <c r="U18" s="43">
        <v>49.725</v>
      </c>
      <c r="V18" s="43">
        <v>24.962</v>
      </c>
      <c r="X18" s="119"/>
      <c r="AD18" s="115"/>
      <c r="AE18" s="115"/>
      <c r="AF18" s="115"/>
      <c r="AG18" s="115"/>
      <c r="AH18" s="115"/>
      <c r="AI18" s="115"/>
      <c r="AJ18" s="115"/>
      <c r="AK18" s="115"/>
    </row>
    <row r="19">
      <c r="A19" s="116" t="s">
        <v>46</v>
      </c>
      <c r="C19" s="53">
        <v>4.0</v>
      </c>
      <c r="D19" s="117">
        <v>50.997</v>
      </c>
      <c r="E19" s="117">
        <v>26.163</v>
      </c>
      <c r="F19" s="43">
        <v>4.601</v>
      </c>
      <c r="G19" s="118">
        <v>2.713</v>
      </c>
      <c r="H19" s="118">
        <v>6.611</v>
      </c>
      <c r="I19" s="118">
        <v>3.354</v>
      </c>
      <c r="J19" s="118">
        <v>26.389</v>
      </c>
      <c r="K19" s="43">
        <v>11.515</v>
      </c>
      <c r="L19" s="43">
        <v>229.09</v>
      </c>
      <c r="M19" s="43">
        <v>172.516</v>
      </c>
      <c r="N19" s="43">
        <v>224.631</v>
      </c>
      <c r="O19" s="43">
        <v>173.303</v>
      </c>
      <c r="P19" s="118">
        <v>215.537</v>
      </c>
      <c r="Q19" s="118">
        <v>193.592</v>
      </c>
      <c r="R19" s="24">
        <v>220.899</v>
      </c>
      <c r="S19" s="24">
        <v>193.96</v>
      </c>
      <c r="T19" s="24">
        <v>8.314</v>
      </c>
      <c r="U19" s="43">
        <v>49.292</v>
      </c>
      <c r="V19" s="43">
        <v>25.22</v>
      </c>
      <c r="X19" s="119"/>
      <c r="AD19" s="115"/>
      <c r="AE19" s="115"/>
      <c r="AF19" s="115"/>
      <c r="AG19" s="115"/>
      <c r="AH19" s="115"/>
      <c r="AI19" s="115"/>
      <c r="AJ19" s="115"/>
      <c r="AK19" s="115"/>
    </row>
    <row r="20">
      <c r="D20" s="120" t="str">
        <f t="shared" ref="D20:V20" si="1">AVERAGE(D16:D19)</f>
        <v>52.1</v>
      </c>
      <c r="E20" s="120" t="str">
        <f t="shared" si="1"/>
        <v>26.3</v>
      </c>
      <c r="F20" t="str">
        <f t="shared" si="1"/>
        <v>4.55925</v>
      </c>
      <c r="G20" t="str">
        <f t="shared" si="1"/>
        <v>2.61825</v>
      </c>
      <c r="H20" t="str">
        <f t="shared" si="1"/>
        <v>6.60725</v>
      </c>
      <c r="I20" t="str">
        <f t="shared" si="1"/>
        <v>3.28925</v>
      </c>
      <c r="J20" t="str">
        <f t="shared" si="1"/>
        <v>25.4915</v>
      </c>
      <c r="K20" t="str">
        <f t="shared" si="1"/>
        <v>13.74225</v>
      </c>
      <c r="L20" t="str">
        <f t="shared" si="1"/>
        <v>225.61775</v>
      </c>
      <c r="M20" t="str">
        <f t="shared" si="1"/>
        <v>172.54125</v>
      </c>
      <c r="N20" t="str">
        <f t="shared" si="1"/>
        <v>219.5885</v>
      </c>
      <c r="O20" t="str">
        <f t="shared" si="1"/>
        <v>171.48125</v>
      </c>
      <c r="P20" t="str">
        <f t="shared" si="1"/>
        <v>212.9475</v>
      </c>
      <c r="Q20" t="str">
        <f t="shared" si="1"/>
        <v>193.40375</v>
      </c>
      <c r="R20" t="str">
        <f t="shared" si="1"/>
        <v>220.353</v>
      </c>
      <c r="S20" t="str">
        <f t="shared" si="1"/>
        <v>193.3885</v>
      </c>
      <c r="T20" t="str">
        <f t="shared" si="1"/>
        <v>8.398</v>
      </c>
      <c r="U20" t="str">
        <f t="shared" si="1"/>
        <v>49.905</v>
      </c>
      <c r="V20" t="str">
        <f t="shared" si="1"/>
        <v>25.04575</v>
      </c>
      <c r="X20" s="121"/>
      <c r="Y20" s="88"/>
      <c r="Z20" s="88"/>
      <c r="AA20" s="88"/>
      <c r="AB20" s="88"/>
      <c r="AC20" s="88"/>
      <c r="AD20" s="115"/>
      <c r="AE20" s="115"/>
      <c r="AF20" s="115"/>
      <c r="AG20" s="115"/>
      <c r="AH20" s="115"/>
      <c r="AI20" s="115"/>
      <c r="AJ20" s="115"/>
      <c r="AK20" s="115"/>
    </row>
    <row r="21">
      <c r="D21" s="104" t="str">
        <f t="shared" ref="D21:E21" si="2">10000*1024*4/D20</f>
        <v>785501.9657</v>
      </c>
      <c r="E21" s="104" t="str">
        <f t="shared" si="2"/>
        <v>1559608.575</v>
      </c>
      <c r="F21" s="104" t="str">
        <f t="shared" ref="F21:G21" si="3">1000*4*10240/F20</f>
        <v>8983933.761</v>
      </c>
      <c r="G21" s="104" t="str">
        <f t="shared" si="3"/>
        <v>15644037.05</v>
      </c>
      <c r="H21" s="104" t="str">
        <f t="shared" ref="H21:I21" si="4">1000*4*102400/H20</f>
        <v>61992508.23</v>
      </c>
      <c r="I21" s="104" t="str">
        <f t="shared" si="4"/>
        <v>124526867.8</v>
      </c>
      <c r="J21" s="104" t="str">
        <f t="shared" ref="J21:K21" si="5">1000*4*1024000/J20</f>
        <v>160681011.3</v>
      </c>
      <c r="K21" s="104" t="str">
        <f t="shared" si="5"/>
        <v>298058905.9</v>
      </c>
      <c r="L21" s="104" t="str">
        <f t="shared" ref="L21:M21" si="6">1000*4*10240000/L20</f>
        <v>181545999.8</v>
      </c>
      <c r="M21" s="104" t="str">
        <f t="shared" si="6"/>
        <v>237392507.6</v>
      </c>
      <c r="N21" s="104" t="str">
        <f t="shared" ref="N21:O21" si="7">100*4*102400000/N20</f>
        <v>186530715.4</v>
      </c>
      <c r="O21" s="104" t="str">
        <f t="shared" si="7"/>
        <v>238859933.7</v>
      </c>
      <c r="P21" s="104" t="str">
        <f t="shared" ref="P21:Q21" si="8">10*4*1024000000/P20</f>
        <v>192347879.2</v>
      </c>
      <c r="Q21" s="104" t="str">
        <f t="shared" si="8"/>
        <v>211784931.8</v>
      </c>
      <c r="R21" s="104" t="str">
        <f t="shared" ref="R21:S21" si="9">1*4*10240000000/R20</f>
        <v>185883559.6</v>
      </c>
      <c r="S21" s="104" t="str">
        <f t="shared" si="9"/>
        <v>211801632.5</v>
      </c>
      <c r="T21" t="str">
        <f>10000*4/T20</f>
        <v>4763.038819</v>
      </c>
      <c r="U21" t="str">
        <f t="shared" ref="U21:V21" si="10">40000/U20</f>
        <v>801.5228935</v>
      </c>
      <c r="V21" t="str">
        <f t="shared" si="10"/>
        <v>1597.077348</v>
      </c>
    </row>
    <row r="22">
      <c r="D22" s="104" t="str">
        <f t="shared" ref="D22:S22" si="11">D21/1024/1024</f>
        <v>0.7491130501</v>
      </c>
      <c r="E22" s="104" t="str">
        <f t="shared" si="11"/>
        <v>1.487358641</v>
      </c>
      <c r="F22" s="104" t="str">
        <f t="shared" si="11"/>
        <v>8.567746888</v>
      </c>
      <c r="G22" s="104" t="str">
        <f t="shared" si="11"/>
        <v>14.91931634</v>
      </c>
      <c r="H22" s="104" t="str">
        <f t="shared" si="11"/>
        <v>59.12066291</v>
      </c>
      <c r="I22" s="104" t="str">
        <f t="shared" si="11"/>
        <v>118.7580755</v>
      </c>
      <c r="J22" s="104" t="str">
        <f t="shared" si="11"/>
        <v>153.2373536</v>
      </c>
      <c r="K22" s="104" t="str">
        <f t="shared" si="11"/>
        <v>284.2511234</v>
      </c>
      <c r="L22" s="104" t="str">
        <f t="shared" si="11"/>
        <v>173.1357573</v>
      </c>
      <c r="M22" s="104" t="str">
        <f t="shared" si="11"/>
        <v>226.3951374</v>
      </c>
      <c r="N22" s="104" t="str">
        <f t="shared" si="11"/>
        <v>177.8895525</v>
      </c>
      <c r="O22" s="104" t="str">
        <f t="shared" si="11"/>
        <v>227.794584</v>
      </c>
      <c r="P22" s="104" t="str">
        <f t="shared" si="11"/>
        <v>183.4372322</v>
      </c>
      <c r="Q22" s="104" t="str">
        <f t="shared" si="11"/>
        <v>201.97385</v>
      </c>
      <c r="R22" s="104" t="str">
        <f t="shared" si="11"/>
        <v>177.2723766</v>
      </c>
      <c r="S22" s="104" t="str">
        <f t="shared" si="11"/>
        <v>201.9897771</v>
      </c>
    </row>
    <row r="24">
      <c r="A24" s="24" t="s">
        <v>81</v>
      </c>
      <c r="C24" s="47" t="s">
        <v>51</v>
      </c>
      <c r="D24" s="122" t="s">
        <v>82</v>
      </c>
      <c r="E24" s="8"/>
      <c r="F24" s="122" t="s">
        <v>83</v>
      </c>
      <c r="G24" s="8"/>
      <c r="H24" s="122" t="s">
        <v>84</v>
      </c>
      <c r="I24" s="8"/>
      <c r="J24" s="122" t="s">
        <v>85</v>
      </c>
      <c r="K24" s="8"/>
      <c r="L24" s="122" t="s">
        <v>86</v>
      </c>
      <c r="M24" s="8"/>
      <c r="N24" s="122" t="s">
        <v>87</v>
      </c>
      <c r="O24" s="8"/>
      <c r="P24" s="122" t="s">
        <v>88</v>
      </c>
      <c r="Q24" s="9"/>
      <c r="R24" s="122" t="s">
        <v>89</v>
      </c>
      <c r="S24" s="9"/>
      <c r="T24" s="111" t="s">
        <v>90</v>
      </c>
      <c r="U24" s="110" t="s">
        <v>91</v>
      </c>
      <c r="V24" s="8"/>
      <c r="W24" s="123"/>
      <c r="X24" s="8"/>
    </row>
    <row r="25">
      <c r="A25" s="24" t="s">
        <v>92</v>
      </c>
      <c r="C25" s="49" t="s">
        <v>52</v>
      </c>
      <c r="D25" s="122">
        <v>10000.0</v>
      </c>
      <c r="E25" s="8"/>
      <c r="F25" s="122">
        <v>1000.0</v>
      </c>
      <c r="G25" s="8"/>
      <c r="H25" s="122">
        <v>1000.0</v>
      </c>
      <c r="I25" s="8"/>
      <c r="J25" s="122">
        <v>1000.0</v>
      </c>
      <c r="K25" s="8"/>
      <c r="L25" s="122">
        <v>1000.0</v>
      </c>
      <c r="M25" s="8"/>
      <c r="N25" s="122">
        <v>100.0</v>
      </c>
      <c r="O25" s="8"/>
      <c r="P25" s="122">
        <v>10.0</v>
      </c>
      <c r="Q25" s="9"/>
      <c r="R25" s="122">
        <v>1.0</v>
      </c>
      <c r="S25" s="9"/>
      <c r="T25" s="111" t="s">
        <v>93</v>
      </c>
      <c r="U25" s="110">
        <v>10000.0</v>
      </c>
      <c r="V25" s="8"/>
      <c r="W25" s="123"/>
      <c r="X25" s="8"/>
      <c r="AA25" s="27"/>
      <c r="AB25" s="27"/>
      <c r="AC25" s="27"/>
      <c r="AD25" s="27"/>
      <c r="AE25" s="27"/>
      <c r="AF25" s="27"/>
      <c r="AG25" s="27"/>
      <c r="AH25" s="27"/>
    </row>
    <row r="26">
      <c r="A26" s="112"/>
      <c r="C26" s="51" t="s">
        <v>53</v>
      </c>
      <c r="D26" s="124" t="s">
        <v>16</v>
      </c>
      <c r="E26" s="124" t="s">
        <v>0</v>
      </c>
      <c r="F26" s="124" t="s">
        <v>16</v>
      </c>
      <c r="G26" s="124" t="s">
        <v>0</v>
      </c>
      <c r="H26" s="124" t="s">
        <v>16</v>
      </c>
      <c r="I26" s="124" t="s">
        <v>0</v>
      </c>
      <c r="J26" s="124" t="s">
        <v>16</v>
      </c>
      <c r="K26" s="124" t="s">
        <v>0</v>
      </c>
      <c r="L26" s="124" t="s">
        <v>16</v>
      </c>
      <c r="M26" s="124" t="s">
        <v>0</v>
      </c>
      <c r="N26" s="124" t="s">
        <v>16</v>
      </c>
      <c r="O26" s="124" t="s">
        <v>0</v>
      </c>
      <c r="P26" s="124" t="s">
        <v>16</v>
      </c>
      <c r="Q26" s="124" t="s">
        <v>0</v>
      </c>
      <c r="R26" s="124" t="s">
        <v>16</v>
      </c>
      <c r="S26" s="124" t="s">
        <v>0</v>
      </c>
      <c r="T26" s="24" t="s">
        <v>95</v>
      </c>
      <c r="U26" s="43" t="s">
        <v>16</v>
      </c>
      <c r="V26" s="43" t="s">
        <v>0</v>
      </c>
      <c r="W26" s="43"/>
      <c r="X26" s="43"/>
      <c r="AA26" s="27"/>
      <c r="AB26" s="27"/>
      <c r="AC26" s="27"/>
      <c r="AD26" s="27"/>
      <c r="AE26" s="27"/>
      <c r="AF26" s="27"/>
      <c r="AG26" s="27"/>
      <c r="AH26" s="27"/>
    </row>
    <row r="27">
      <c r="A27" s="116" t="s">
        <v>43</v>
      </c>
      <c r="C27" s="53">
        <v>1.0</v>
      </c>
      <c r="D27" s="117">
        <v>51.318</v>
      </c>
      <c r="E27" s="117">
        <v>26.331</v>
      </c>
      <c r="F27" s="117">
        <v>4.766</v>
      </c>
      <c r="G27" s="117">
        <v>2.611</v>
      </c>
      <c r="H27" s="117">
        <v>6.656</v>
      </c>
      <c r="I27" s="117">
        <v>3.146</v>
      </c>
      <c r="J27" s="117">
        <v>25.634</v>
      </c>
      <c r="K27" s="117">
        <v>11.675</v>
      </c>
      <c r="L27" s="117">
        <v>223.718</v>
      </c>
      <c r="M27" s="117">
        <v>173.179</v>
      </c>
      <c r="N27" s="117">
        <v>218.434</v>
      </c>
      <c r="O27" s="117">
        <v>179.311</v>
      </c>
      <c r="P27" s="125">
        <v>227.187</v>
      </c>
      <c r="Q27" s="125">
        <v>199.33</v>
      </c>
      <c r="R27" s="117">
        <v>223.357</v>
      </c>
      <c r="S27" s="117">
        <v>194.054</v>
      </c>
      <c r="T27" s="24">
        <v>7.964</v>
      </c>
      <c r="U27" s="24">
        <v>49.057</v>
      </c>
      <c r="V27" s="24">
        <v>25.032</v>
      </c>
      <c r="W27" s="43"/>
      <c r="X27" s="43"/>
      <c r="AA27" s="27"/>
      <c r="AB27" s="27"/>
      <c r="AC27" s="27"/>
      <c r="AD27" s="27"/>
      <c r="AE27" s="27"/>
      <c r="AF27" s="27"/>
      <c r="AG27" s="27"/>
      <c r="AH27" s="27"/>
    </row>
    <row r="28">
      <c r="A28" s="116" t="s">
        <v>44</v>
      </c>
      <c r="C28" s="53">
        <v>2.0</v>
      </c>
      <c r="D28" s="117">
        <v>52.972</v>
      </c>
      <c r="E28" s="117">
        <v>27.833</v>
      </c>
      <c r="F28" s="117">
        <v>4.839</v>
      </c>
      <c r="G28" s="117">
        <v>2.639</v>
      </c>
      <c r="H28" s="117">
        <v>6.582</v>
      </c>
      <c r="I28" s="117">
        <v>3.209</v>
      </c>
      <c r="J28" s="117">
        <v>25.594</v>
      </c>
      <c r="K28" s="117">
        <v>12.101</v>
      </c>
      <c r="L28" s="117">
        <v>232.097</v>
      </c>
      <c r="M28" s="117">
        <v>172.225</v>
      </c>
      <c r="N28" s="117">
        <v>219.979</v>
      </c>
      <c r="O28" s="117">
        <v>177.89</v>
      </c>
      <c r="P28" s="125">
        <v>237.931</v>
      </c>
      <c r="Q28" s="125">
        <v>197.094</v>
      </c>
      <c r="R28" s="117">
        <v>225.71</v>
      </c>
      <c r="S28" s="117">
        <v>194.372</v>
      </c>
      <c r="T28" s="24">
        <v>8.073</v>
      </c>
      <c r="U28" s="24">
        <v>49.122</v>
      </c>
      <c r="V28" s="24">
        <v>25.507</v>
      </c>
      <c r="W28" s="43"/>
      <c r="X28" s="43"/>
      <c r="AA28" s="27"/>
      <c r="AB28" s="27"/>
      <c r="AC28" s="27"/>
      <c r="AD28" s="27"/>
      <c r="AE28" s="27"/>
      <c r="AF28" s="27"/>
      <c r="AG28" s="27"/>
      <c r="AH28" s="27"/>
    </row>
    <row r="29">
      <c r="A29" s="116" t="s">
        <v>45</v>
      </c>
      <c r="C29" s="53">
        <v>3.0</v>
      </c>
      <c r="D29" s="117">
        <v>51.341</v>
      </c>
      <c r="E29" s="117">
        <v>25.85</v>
      </c>
      <c r="F29" s="117">
        <v>4.974</v>
      </c>
      <c r="G29" s="117">
        <v>2.62</v>
      </c>
      <c r="H29" s="117">
        <v>6.897</v>
      </c>
      <c r="I29" s="117">
        <v>3.174</v>
      </c>
      <c r="J29" s="117">
        <v>25.955</v>
      </c>
      <c r="K29" s="117">
        <v>12.543</v>
      </c>
      <c r="L29" s="117">
        <v>226.04</v>
      </c>
      <c r="M29" s="117">
        <v>173.731</v>
      </c>
      <c r="N29" s="117">
        <v>222.982</v>
      </c>
      <c r="O29" s="117">
        <v>173.024</v>
      </c>
      <c r="P29" s="125">
        <v>233.351</v>
      </c>
      <c r="Q29" s="125">
        <v>199.376</v>
      </c>
      <c r="R29" s="117">
        <v>220.341</v>
      </c>
      <c r="S29" s="117">
        <v>193.057</v>
      </c>
      <c r="T29" s="24">
        <v>8.084</v>
      </c>
      <c r="U29" s="24">
        <v>49.842</v>
      </c>
      <c r="V29" s="24">
        <v>26.161</v>
      </c>
      <c r="W29" s="43"/>
      <c r="X29" s="43"/>
      <c r="AA29" s="27"/>
      <c r="AB29" s="27"/>
      <c r="AC29" s="27"/>
      <c r="AD29" s="27"/>
      <c r="AE29" s="27"/>
      <c r="AF29" s="27"/>
      <c r="AG29" s="27"/>
      <c r="AH29" s="27"/>
    </row>
    <row r="30">
      <c r="A30" s="116" t="s">
        <v>46</v>
      </c>
      <c r="C30" s="53">
        <v>4.0</v>
      </c>
      <c r="D30" s="117">
        <v>51.666</v>
      </c>
      <c r="E30" s="117">
        <v>25.952</v>
      </c>
      <c r="F30" s="117">
        <v>4.691</v>
      </c>
      <c r="G30" s="117">
        <v>2.607</v>
      </c>
      <c r="H30" s="117">
        <v>6.586</v>
      </c>
      <c r="I30" s="117">
        <v>3.154</v>
      </c>
      <c r="J30" s="117">
        <v>25.708</v>
      </c>
      <c r="K30" s="117">
        <v>11.52</v>
      </c>
      <c r="L30" s="117">
        <v>225.706</v>
      </c>
      <c r="M30" s="117">
        <v>170.594</v>
      </c>
      <c r="N30" s="117">
        <v>219.883</v>
      </c>
      <c r="O30" s="117">
        <v>173.196</v>
      </c>
      <c r="P30" s="125">
        <v>233.083</v>
      </c>
      <c r="Q30" s="125">
        <v>194.515</v>
      </c>
      <c r="R30" s="117">
        <v>221.845</v>
      </c>
      <c r="S30" s="117">
        <v>193.435</v>
      </c>
      <c r="T30" s="24">
        <v>7.937</v>
      </c>
      <c r="U30" s="24">
        <v>50.087</v>
      </c>
      <c r="V30" s="24">
        <v>26.519</v>
      </c>
      <c r="W30" s="43"/>
      <c r="X30" s="43"/>
      <c r="AA30" s="27"/>
      <c r="AB30" s="27"/>
      <c r="AC30" s="27"/>
      <c r="AD30" s="27"/>
      <c r="AE30" s="27"/>
      <c r="AF30" s="27"/>
      <c r="AG30" s="27"/>
      <c r="AH30" s="27"/>
    </row>
    <row r="31">
      <c r="A31" s="116" t="s">
        <v>96</v>
      </c>
      <c r="C31" s="53">
        <v>5.0</v>
      </c>
      <c r="D31" s="117">
        <v>52.733</v>
      </c>
      <c r="E31" s="117">
        <v>26.288</v>
      </c>
      <c r="F31" s="117">
        <v>5.319</v>
      </c>
      <c r="G31" s="117">
        <v>2.73</v>
      </c>
      <c r="H31" s="117">
        <v>7.041</v>
      </c>
      <c r="I31" s="117">
        <v>3.226</v>
      </c>
      <c r="J31" s="117">
        <v>26.042</v>
      </c>
      <c r="K31" s="117">
        <v>13.39</v>
      </c>
      <c r="L31" s="117">
        <v>238.019</v>
      </c>
      <c r="M31" s="117">
        <v>170.556</v>
      </c>
      <c r="N31" s="117">
        <v>229.136</v>
      </c>
      <c r="O31" s="117">
        <v>165.216</v>
      </c>
      <c r="P31" s="125">
        <v>229.173</v>
      </c>
      <c r="Q31" s="125">
        <v>197.309</v>
      </c>
      <c r="R31" s="117">
        <v>222.338</v>
      </c>
      <c r="S31" s="117">
        <v>192.703</v>
      </c>
      <c r="T31" s="24">
        <v>7.902</v>
      </c>
      <c r="U31" s="24">
        <v>48.739</v>
      </c>
      <c r="V31" s="24">
        <v>24.913</v>
      </c>
      <c r="W31" s="43"/>
      <c r="X31" s="43"/>
      <c r="AA31" s="27"/>
      <c r="AB31" s="27"/>
      <c r="AC31" s="27"/>
      <c r="AD31" s="27"/>
      <c r="AE31" s="27"/>
      <c r="AF31" s="27"/>
      <c r="AG31" s="27"/>
      <c r="AH31" s="27"/>
    </row>
    <row r="32">
      <c r="A32" s="116" t="s">
        <v>97</v>
      </c>
      <c r="C32" s="53">
        <v>6.0</v>
      </c>
      <c r="D32" s="117">
        <v>53.771</v>
      </c>
      <c r="E32" s="117">
        <v>26.475</v>
      </c>
      <c r="F32" s="117">
        <v>4.863</v>
      </c>
      <c r="G32" s="117">
        <v>2.658</v>
      </c>
      <c r="H32" s="117">
        <v>6.594</v>
      </c>
      <c r="I32" s="117">
        <v>3.125</v>
      </c>
      <c r="J32" s="117">
        <v>25.392</v>
      </c>
      <c r="K32" s="117">
        <v>13.635</v>
      </c>
      <c r="L32" s="117">
        <v>224.968</v>
      </c>
      <c r="M32" s="117">
        <v>172.03</v>
      </c>
      <c r="N32" s="117">
        <v>222.436</v>
      </c>
      <c r="O32" s="117">
        <v>178.28</v>
      </c>
      <c r="P32" s="125">
        <v>234.886</v>
      </c>
      <c r="Q32" s="125">
        <v>197.894</v>
      </c>
      <c r="R32" s="117">
        <v>217.224</v>
      </c>
      <c r="S32" s="117">
        <v>192.379</v>
      </c>
      <c r="T32" s="24">
        <v>8.093</v>
      </c>
      <c r="U32" s="24">
        <v>47.715</v>
      </c>
      <c r="V32" s="24">
        <v>24.94</v>
      </c>
      <c r="W32" s="43"/>
      <c r="X32" s="43"/>
      <c r="AA32" s="27"/>
      <c r="AB32" s="27"/>
      <c r="AC32" s="27"/>
      <c r="AD32" s="27"/>
      <c r="AE32" s="27"/>
      <c r="AF32" s="27"/>
      <c r="AG32" s="27"/>
      <c r="AH32" s="27"/>
    </row>
    <row r="33">
      <c r="A33" s="116" t="s">
        <v>98</v>
      </c>
      <c r="C33" s="53">
        <v>7.0</v>
      </c>
      <c r="D33" s="117">
        <v>51.079</v>
      </c>
      <c r="E33" s="117">
        <v>26.126</v>
      </c>
      <c r="F33" s="117">
        <v>5.033</v>
      </c>
      <c r="G33" s="117">
        <v>2.585</v>
      </c>
      <c r="H33" s="117">
        <v>6.831</v>
      </c>
      <c r="I33" s="117">
        <v>3.148</v>
      </c>
      <c r="J33" s="117">
        <v>25.375</v>
      </c>
      <c r="K33" s="117">
        <v>11.802</v>
      </c>
      <c r="L33" s="117">
        <v>225.815</v>
      </c>
      <c r="M33" s="117">
        <v>172.035</v>
      </c>
      <c r="N33" s="117">
        <v>218.389</v>
      </c>
      <c r="O33" s="117">
        <v>178.337</v>
      </c>
      <c r="P33" s="125">
        <v>235.136</v>
      </c>
      <c r="Q33" s="125">
        <v>193.572</v>
      </c>
      <c r="R33" s="117">
        <v>221.575</v>
      </c>
      <c r="S33" s="117">
        <v>194.203</v>
      </c>
      <c r="T33" s="24">
        <v>8.118</v>
      </c>
      <c r="U33" s="24">
        <v>51.075</v>
      </c>
      <c r="V33" s="24">
        <v>25.659</v>
      </c>
      <c r="W33" s="43"/>
      <c r="X33" s="43"/>
      <c r="AA33" s="27"/>
      <c r="AB33" s="27"/>
      <c r="AC33" s="27"/>
      <c r="AD33" s="27"/>
      <c r="AE33" s="27"/>
      <c r="AF33" s="27"/>
      <c r="AG33" s="27"/>
      <c r="AH33" s="27"/>
    </row>
    <row r="34">
      <c r="A34" s="116" t="s">
        <v>99</v>
      </c>
      <c r="C34" s="53">
        <v>8.0</v>
      </c>
      <c r="D34" s="117">
        <v>50.997</v>
      </c>
      <c r="E34" s="117">
        <v>26.163</v>
      </c>
      <c r="F34" s="117">
        <v>4.841</v>
      </c>
      <c r="G34" s="117">
        <v>2.621</v>
      </c>
      <c r="H34" s="117">
        <v>7.005</v>
      </c>
      <c r="I34" s="117">
        <v>3.125</v>
      </c>
      <c r="J34" s="117">
        <v>25.407</v>
      </c>
      <c r="K34" s="117">
        <v>11.803</v>
      </c>
      <c r="L34" s="117">
        <v>224.062</v>
      </c>
      <c r="M34" s="117">
        <v>174.187</v>
      </c>
      <c r="N34" s="117">
        <v>221.73</v>
      </c>
      <c r="O34" s="67">
        <v>178.253</v>
      </c>
      <c r="P34" s="125">
        <v>234.77</v>
      </c>
      <c r="Q34" s="125">
        <v>197.735</v>
      </c>
      <c r="R34" s="117">
        <v>227.584</v>
      </c>
      <c r="S34" s="117">
        <v>193.861</v>
      </c>
      <c r="T34" s="24">
        <v>8.536</v>
      </c>
      <c r="U34" s="24">
        <v>47.702</v>
      </c>
      <c r="V34" s="24">
        <v>24.982</v>
      </c>
      <c r="W34" s="43"/>
      <c r="X34" s="43"/>
      <c r="AA34" s="27"/>
      <c r="AB34" s="27"/>
      <c r="AC34" s="27"/>
      <c r="AD34" s="27"/>
      <c r="AE34" s="27"/>
      <c r="AF34" s="27"/>
      <c r="AG34" s="27"/>
      <c r="AH34" s="27"/>
    </row>
    <row r="35">
      <c r="A35" s="116" t="s">
        <v>100</v>
      </c>
      <c r="C35" s="53">
        <v>9.0</v>
      </c>
      <c r="D35" s="117">
        <v>53.579</v>
      </c>
      <c r="E35" s="117">
        <v>26.844</v>
      </c>
      <c r="F35" s="117">
        <v>5.239</v>
      </c>
      <c r="G35" s="117">
        <v>2.648</v>
      </c>
      <c r="H35" s="117">
        <v>6.948</v>
      </c>
      <c r="I35" s="117">
        <v>3.199</v>
      </c>
      <c r="J35" s="117">
        <v>25.81</v>
      </c>
      <c r="K35" s="117">
        <v>11.851</v>
      </c>
      <c r="L35" s="117">
        <v>224.416</v>
      </c>
      <c r="M35" s="117">
        <v>169.455</v>
      </c>
      <c r="N35" s="117">
        <v>218.236</v>
      </c>
      <c r="O35" s="117">
        <v>177.175</v>
      </c>
      <c r="P35" s="125">
        <v>220.23</v>
      </c>
      <c r="Q35" s="125">
        <v>194.157</v>
      </c>
      <c r="R35" s="117">
        <v>220.182</v>
      </c>
      <c r="S35" s="117">
        <v>194.417</v>
      </c>
      <c r="T35" s="24">
        <v>7.951</v>
      </c>
      <c r="U35" s="24">
        <v>50.252</v>
      </c>
      <c r="V35" s="24">
        <v>25.086</v>
      </c>
      <c r="W35" s="43"/>
      <c r="X35" s="43"/>
      <c r="AA35" s="27"/>
      <c r="AB35" s="27"/>
      <c r="AC35" s="27"/>
      <c r="AD35" s="27"/>
      <c r="AE35" s="27"/>
      <c r="AF35" s="27"/>
      <c r="AG35" s="27"/>
      <c r="AH35" s="27"/>
    </row>
    <row r="36">
      <c r="A36" s="116" t="s">
        <v>101</v>
      </c>
      <c r="C36" s="53">
        <v>10.0</v>
      </c>
      <c r="D36" s="117">
        <v>50.902</v>
      </c>
      <c r="E36" s="117">
        <v>25.019</v>
      </c>
      <c r="F36" s="117">
        <v>4.934</v>
      </c>
      <c r="G36" s="117">
        <v>2.619</v>
      </c>
      <c r="H36" s="117">
        <v>6.76</v>
      </c>
      <c r="I36" s="117">
        <v>3.151</v>
      </c>
      <c r="J36" s="117">
        <v>25.454</v>
      </c>
      <c r="K36" s="117">
        <v>11.519</v>
      </c>
      <c r="L36" s="117">
        <v>225.899</v>
      </c>
      <c r="M36" s="117">
        <v>173.632</v>
      </c>
      <c r="N36" s="117">
        <v>221.471</v>
      </c>
      <c r="O36" s="117">
        <v>177.402</v>
      </c>
      <c r="P36" s="125">
        <v>230.731</v>
      </c>
      <c r="Q36" s="125">
        <v>199.599</v>
      </c>
      <c r="R36" s="117">
        <v>219.356</v>
      </c>
      <c r="S36" s="117">
        <v>194.535</v>
      </c>
      <c r="T36" s="24">
        <v>7.996</v>
      </c>
      <c r="U36" s="24">
        <v>46.635</v>
      </c>
      <c r="V36" s="24">
        <v>24.918</v>
      </c>
      <c r="W36" s="43"/>
      <c r="X36" s="43"/>
      <c r="AA36" s="27"/>
      <c r="AB36" s="27"/>
      <c r="AC36" s="27"/>
      <c r="AD36" s="27"/>
      <c r="AE36" s="27"/>
      <c r="AF36" s="27"/>
      <c r="AG36" s="27"/>
      <c r="AH36" s="27"/>
    </row>
    <row r="37">
      <c r="A37" s="116" t="s">
        <v>102</v>
      </c>
      <c r="C37" s="53">
        <v>11.0</v>
      </c>
      <c r="D37" s="117">
        <v>52.927</v>
      </c>
      <c r="E37" s="117">
        <v>26.355</v>
      </c>
      <c r="F37" s="117">
        <v>4.967</v>
      </c>
      <c r="G37" s="117">
        <v>2.877</v>
      </c>
      <c r="H37" s="117">
        <v>6.897</v>
      </c>
      <c r="I37" s="117">
        <v>3.345</v>
      </c>
      <c r="J37" s="117">
        <v>24.939</v>
      </c>
      <c r="K37" s="117">
        <v>13.746</v>
      </c>
      <c r="L37" s="117">
        <v>225.895</v>
      </c>
      <c r="M37" s="117">
        <v>170.554</v>
      </c>
      <c r="N37" s="117">
        <v>222.572</v>
      </c>
      <c r="O37" s="117">
        <v>178.4</v>
      </c>
      <c r="P37" s="125">
        <v>227.496</v>
      </c>
      <c r="Q37" s="125">
        <v>195.764</v>
      </c>
      <c r="R37" s="117">
        <v>220.891</v>
      </c>
      <c r="S37" s="117">
        <v>191.714</v>
      </c>
      <c r="T37" s="24">
        <v>7.913</v>
      </c>
      <c r="U37" s="24">
        <v>47.892</v>
      </c>
      <c r="V37" s="24">
        <v>24.793</v>
      </c>
      <c r="W37" s="43"/>
      <c r="X37" s="43"/>
      <c r="AA37" s="27"/>
      <c r="AB37" s="27"/>
      <c r="AC37" s="27"/>
      <c r="AD37" s="27"/>
      <c r="AE37" s="27"/>
      <c r="AF37" s="27"/>
      <c r="AG37" s="27"/>
      <c r="AH37" s="27"/>
    </row>
    <row r="38">
      <c r="A38" s="116" t="s">
        <v>103</v>
      </c>
      <c r="C38" s="53">
        <v>12.0</v>
      </c>
      <c r="D38" s="117">
        <v>48.778</v>
      </c>
      <c r="E38" s="117">
        <v>26.047</v>
      </c>
      <c r="F38" s="117">
        <v>4.808</v>
      </c>
      <c r="G38" s="117">
        <v>2.597</v>
      </c>
      <c r="H38" s="117">
        <v>6.716</v>
      </c>
      <c r="I38" s="117">
        <v>3.164</v>
      </c>
      <c r="J38" s="117">
        <v>25.341</v>
      </c>
      <c r="K38" s="117">
        <v>11.802</v>
      </c>
      <c r="L38" s="117">
        <v>226.756</v>
      </c>
      <c r="M38" s="117">
        <v>170.597</v>
      </c>
      <c r="N38" s="117">
        <v>219.78</v>
      </c>
      <c r="O38" s="117">
        <v>177.781</v>
      </c>
      <c r="P38" s="125">
        <v>228.613</v>
      </c>
      <c r="Q38" s="125">
        <v>197.754</v>
      </c>
      <c r="R38" s="117">
        <v>220.79</v>
      </c>
      <c r="S38" s="117">
        <v>196.761</v>
      </c>
      <c r="T38" s="24">
        <v>7.967</v>
      </c>
      <c r="U38" s="24">
        <v>49.548</v>
      </c>
      <c r="V38" s="24">
        <v>25.662</v>
      </c>
      <c r="W38" s="43"/>
      <c r="X38" s="43"/>
      <c r="AA38" s="27"/>
      <c r="AB38" s="27"/>
      <c r="AC38" s="27"/>
      <c r="AD38" s="27"/>
      <c r="AE38" s="27"/>
      <c r="AF38" s="27"/>
      <c r="AG38" s="27"/>
      <c r="AH38" s="27"/>
    </row>
    <row r="39">
      <c r="A39" s="116" t="s">
        <v>104</v>
      </c>
      <c r="C39" s="53">
        <v>13.0</v>
      </c>
      <c r="D39" s="117">
        <v>54.927</v>
      </c>
      <c r="E39" s="117">
        <v>25.623</v>
      </c>
      <c r="F39" s="117">
        <v>5.34</v>
      </c>
      <c r="G39" s="117">
        <v>2.663</v>
      </c>
      <c r="H39" s="117">
        <v>7.176</v>
      </c>
      <c r="I39" s="117">
        <v>3.454</v>
      </c>
      <c r="J39" s="117">
        <v>25.692</v>
      </c>
      <c r="K39" s="117">
        <v>11.517</v>
      </c>
      <c r="L39" s="117">
        <v>222.749</v>
      </c>
      <c r="M39" s="117">
        <v>173.32</v>
      </c>
      <c r="N39" s="117">
        <v>223.321</v>
      </c>
      <c r="O39" s="117">
        <v>179.803</v>
      </c>
      <c r="P39" s="125">
        <v>232.361</v>
      </c>
      <c r="Q39" s="125">
        <v>202.293</v>
      </c>
      <c r="R39" s="117">
        <v>218.276</v>
      </c>
      <c r="S39" s="117">
        <v>192.952</v>
      </c>
      <c r="T39" s="24">
        <v>7.983</v>
      </c>
      <c r="U39" s="24">
        <v>48.176</v>
      </c>
      <c r="V39" s="24">
        <v>26.329</v>
      </c>
      <c r="W39" s="43"/>
      <c r="X39" s="43"/>
      <c r="AA39" s="27"/>
      <c r="AB39" s="27"/>
      <c r="AC39" s="27"/>
      <c r="AD39" s="27"/>
      <c r="AE39" s="27"/>
      <c r="AF39" s="27"/>
      <c r="AG39" s="27"/>
      <c r="AH39" s="27"/>
    </row>
    <row r="40">
      <c r="A40" s="116" t="s">
        <v>105</v>
      </c>
      <c r="C40" s="53">
        <v>14.0</v>
      </c>
      <c r="D40" s="117">
        <v>52.918</v>
      </c>
      <c r="E40" s="117">
        <v>26.785</v>
      </c>
      <c r="F40" s="117">
        <v>4.941</v>
      </c>
      <c r="G40" s="117">
        <v>2.587</v>
      </c>
      <c r="H40" s="117">
        <v>6.77</v>
      </c>
      <c r="I40" s="117">
        <v>3.163</v>
      </c>
      <c r="J40" s="117">
        <v>25.979</v>
      </c>
      <c r="K40" s="117">
        <v>12.015</v>
      </c>
      <c r="L40" s="117">
        <v>222.699</v>
      </c>
      <c r="M40" s="117">
        <v>175.355</v>
      </c>
      <c r="N40" s="117">
        <v>221.573</v>
      </c>
      <c r="O40" s="117">
        <v>178.784</v>
      </c>
      <c r="P40" s="125">
        <v>232.247</v>
      </c>
      <c r="Q40" s="125">
        <v>195.271</v>
      </c>
      <c r="R40" s="117">
        <v>225.775</v>
      </c>
      <c r="S40" s="117">
        <v>193.844</v>
      </c>
      <c r="T40" s="24">
        <v>7.949</v>
      </c>
      <c r="U40" s="24">
        <v>47.485</v>
      </c>
      <c r="V40" s="24">
        <v>25.756</v>
      </c>
      <c r="W40" s="43"/>
      <c r="X40" s="43"/>
    </row>
    <row r="41">
      <c r="A41" s="116" t="s">
        <v>106</v>
      </c>
      <c r="C41" s="53">
        <v>15.0</v>
      </c>
      <c r="D41" s="117">
        <v>54.453</v>
      </c>
      <c r="E41" s="117">
        <v>24.258</v>
      </c>
      <c r="F41" s="117">
        <v>5.229</v>
      </c>
      <c r="G41" s="117">
        <v>2.656</v>
      </c>
      <c r="H41" s="117">
        <v>7.301</v>
      </c>
      <c r="I41" s="117">
        <v>3.301</v>
      </c>
      <c r="J41" s="117">
        <v>25.894</v>
      </c>
      <c r="K41" s="117">
        <v>11.803</v>
      </c>
      <c r="L41" s="117">
        <v>238.272</v>
      </c>
      <c r="M41" s="117">
        <v>172.362</v>
      </c>
      <c r="N41" s="117">
        <v>225.548</v>
      </c>
      <c r="O41" s="117">
        <v>178.593</v>
      </c>
      <c r="P41" s="125">
        <v>228.139</v>
      </c>
      <c r="Q41" s="125">
        <v>194.275</v>
      </c>
      <c r="R41" s="117">
        <v>219.063</v>
      </c>
      <c r="S41" s="117">
        <v>193.037</v>
      </c>
      <c r="T41" s="24">
        <v>8.486</v>
      </c>
      <c r="U41" s="24">
        <v>49.224</v>
      </c>
      <c r="V41" s="24">
        <v>26.754</v>
      </c>
      <c r="W41" s="43"/>
      <c r="X41" s="43"/>
    </row>
    <row r="42">
      <c r="A42" s="116" t="s">
        <v>107</v>
      </c>
      <c r="C42" s="53">
        <v>16.0</v>
      </c>
      <c r="D42" s="117">
        <v>54.324</v>
      </c>
      <c r="E42" s="117">
        <v>26.852</v>
      </c>
      <c r="F42" s="117">
        <v>5.228</v>
      </c>
      <c r="G42" s="117">
        <v>2.634</v>
      </c>
      <c r="H42" s="117">
        <v>7.29</v>
      </c>
      <c r="I42" s="117">
        <v>3.145</v>
      </c>
      <c r="J42" s="117">
        <v>25.447</v>
      </c>
      <c r="K42" s="117">
        <v>12.329</v>
      </c>
      <c r="L42" s="117">
        <v>226.755</v>
      </c>
      <c r="M42" s="117">
        <v>174.386</v>
      </c>
      <c r="N42" s="117">
        <v>225.894</v>
      </c>
      <c r="O42" s="117">
        <v>175.667</v>
      </c>
      <c r="P42" s="126">
        <v>227.658</v>
      </c>
      <c r="Q42" s="126">
        <v>195.647</v>
      </c>
      <c r="R42" s="117">
        <v>220.691</v>
      </c>
      <c r="S42" s="117">
        <v>193.328</v>
      </c>
      <c r="T42" s="24">
        <v>8.011</v>
      </c>
      <c r="U42" s="24">
        <v>48.62</v>
      </c>
      <c r="V42" s="24">
        <v>25.102</v>
      </c>
      <c r="W42" s="43"/>
      <c r="X42" s="43"/>
    </row>
    <row r="43">
      <c r="A43" s="103" t="s">
        <v>47</v>
      </c>
      <c r="B43" s="104" t="str">
        <f t="shared" ref="B43:C43" si="12">AVERAGE(U27:U42)</f>
        <v>48.8231875</v>
      </c>
      <c r="C43" s="104" t="str">
        <f t="shared" si="12"/>
        <v>25.5070625</v>
      </c>
      <c r="D43" s="74" t="str">
        <f t="shared" ref="D43:V43" si="13">AVERAGE(D27:D42)</f>
        <v>52.4</v>
      </c>
      <c r="E43" s="74" t="str">
        <f t="shared" si="13"/>
        <v>26.2</v>
      </c>
      <c r="F43" s="74" t="str">
        <f t="shared" si="13"/>
        <v>5.0</v>
      </c>
      <c r="G43" s="74" t="str">
        <f t="shared" si="13"/>
        <v>2.6</v>
      </c>
      <c r="H43" s="74" t="str">
        <f t="shared" si="13"/>
        <v>6.9</v>
      </c>
      <c r="I43" s="74" t="str">
        <f t="shared" si="13"/>
        <v>3.2</v>
      </c>
      <c r="J43" s="74" t="str">
        <f t="shared" si="13"/>
        <v>25.6</v>
      </c>
      <c r="K43" s="74" t="str">
        <f t="shared" si="13"/>
        <v>12.2</v>
      </c>
      <c r="L43" s="74" t="str">
        <f t="shared" si="13"/>
        <v>227.1</v>
      </c>
      <c r="M43" s="74" t="str">
        <f t="shared" si="13"/>
        <v>172.4</v>
      </c>
      <c r="N43" s="74" t="str">
        <f t="shared" si="13"/>
        <v>222.0</v>
      </c>
      <c r="O43" s="74" t="str">
        <f t="shared" si="13"/>
        <v>176.7</v>
      </c>
      <c r="P43" s="74" t="str">
        <f t="shared" si="13"/>
        <v>230.8</v>
      </c>
      <c r="Q43" s="74" t="str">
        <f t="shared" si="13"/>
        <v>197.0</v>
      </c>
      <c r="R43" s="74" t="str">
        <f t="shared" si="13"/>
        <v>221.6</v>
      </c>
      <c r="S43" s="74" t="str">
        <f t="shared" si="13"/>
        <v>193.7</v>
      </c>
      <c r="T43" s="104" t="str">
        <f t="shared" si="13"/>
        <v>8.0601875</v>
      </c>
      <c r="U43" s="104" t="str">
        <f t="shared" si="13"/>
        <v>48.8231875</v>
      </c>
      <c r="V43" s="104" t="str">
        <f t="shared" si="13"/>
        <v>25.5070625</v>
      </c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</row>
    <row r="44">
      <c r="A44" s="103" t="s">
        <v>48</v>
      </c>
      <c r="B44" s="104" t="str">
        <f t="shared" ref="B44:C44" si="14">10000*16/B43</f>
        <v>3277.131384</v>
      </c>
      <c r="C44" s="104" t="str">
        <f t="shared" si="14"/>
        <v>6272.772492</v>
      </c>
      <c r="D44" s="104" t="str">
        <f t="shared" ref="D44:E44" si="15">10000*1024*16/D43</f>
        <v>3125655.043</v>
      </c>
      <c r="E44" s="104" t="str">
        <f t="shared" si="15"/>
        <v>6259392.886</v>
      </c>
      <c r="F44" s="104" t="str">
        <f t="shared" ref="F44:G44" si="16">1000*16*10240/F43</f>
        <v>32763085.54</v>
      </c>
      <c r="G44" s="104" t="str">
        <f t="shared" si="16"/>
        <v>61896486.59</v>
      </c>
      <c r="H44" s="104" t="str">
        <f t="shared" ref="H44:I44" si="17">1000*16*102400/H43</f>
        <v>238204452.5</v>
      </c>
      <c r="I44" s="104" t="str">
        <f t="shared" si="17"/>
        <v>511710164.2</v>
      </c>
      <c r="J44" s="104" t="str">
        <f t="shared" ref="J44:K44" si="18">1000*16*1024000/J43</f>
        <v>639901577.6</v>
      </c>
      <c r="K44" s="104" t="str">
        <f t="shared" si="18"/>
        <v>1343976704</v>
      </c>
      <c r="L44" s="104" t="str">
        <f t="shared" ref="L44:M44" si="19">1000*16*10240000/L43</f>
        <v>721391487.7</v>
      </c>
      <c r="M44" s="104" t="str">
        <f t="shared" si="19"/>
        <v>950417627.7</v>
      </c>
      <c r="N44" s="104" t="str">
        <f t="shared" ref="N44:O44" si="20">100*16*102400000/N43</f>
        <v>738150186.8</v>
      </c>
      <c r="O44" s="104" t="str">
        <f t="shared" si="20"/>
        <v>927250140.8</v>
      </c>
      <c r="P44" s="104" t="str">
        <f t="shared" ref="P44:Q44" si="21">10*16*1024000000/P43</f>
        <v>709841776</v>
      </c>
      <c r="Q44" s="104" t="str">
        <f t="shared" si="21"/>
        <v>831784641.7</v>
      </c>
      <c r="R44" s="104" t="str">
        <f t="shared" ref="R44:S44" si="22">1*16*10240000000/R43</f>
        <v>739475734.5</v>
      </c>
      <c r="S44" s="104" t="str">
        <f t="shared" si="22"/>
        <v>845993677.3</v>
      </c>
      <c r="T44" s="104" t="str">
        <f>10000*16/T43</f>
        <v>19850.65484</v>
      </c>
      <c r="U44" s="104" t="str">
        <f t="shared" ref="U44:V44" si="23">160000/U43</f>
        <v>3277.131384</v>
      </c>
      <c r="V44" s="104" t="str">
        <f t="shared" si="23"/>
        <v>6272.772492</v>
      </c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</row>
    <row r="45">
      <c r="A45" s="103" t="s">
        <v>65</v>
      </c>
      <c r="B45" s="71"/>
      <c r="C45" s="71"/>
      <c r="D45" s="104" t="str">
        <f t="shared" ref="D45:S45" si="24">D44/1024/1024</f>
        <v>2.980856937</v>
      </c>
      <c r="E45" s="104" t="str">
        <f t="shared" si="24"/>
        <v>5.969422232</v>
      </c>
      <c r="F45" s="104" t="str">
        <f t="shared" si="24"/>
        <v>31.2453132</v>
      </c>
      <c r="G45" s="104" t="str">
        <f t="shared" si="24"/>
        <v>59.02908954</v>
      </c>
      <c r="H45" s="104" t="str">
        <f t="shared" si="24"/>
        <v>227.1694684</v>
      </c>
      <c r="I45" s="104" t="str">
        <f t="shared" si="24"/>
        <v>488.004841</v>
      </c>
      <c r="J45" s="104" t="str">
        <f t="shared" si="24"/>
        <v>610.2576996</v>
      </c>
      <c r="K45" s="104" t="str">
        <f t="shared" si="24"/>
        <v>1281.716064</v>
      </c>
      <c r="L45" s="104" t="str">
        <f t="shared" si="24"/>
        <v>687.9725339</v>
      </c>
      <c r="M45" s="104" t="str">
        <f t="shared" si="24"/>
        <v>906.3888814</v>
      </c>
      <c r="N45" s="104" t="str">
        <f t="shared" si="24"/>
        <v>703.9548748</v>
      </c>
      <c r="O45" s="104" t="str">
        <f t="shared" si="24"/>
        <v>884.2946441</v>
      </c>
      <c r="P45" s="104" t="str">
        <f t="shared" si="24"/>
        <v>676.9578705</v>
      </c>
      <c r="Q45" s="104" t="str">
        <f t="shared" si="24"/>
        <v>793.2516496</v>
      </c>
      <c r="R45" s="104" t="str">
        <f t="shared" si="24"/>
        <v>705.2190156</v>
      </c>
      <c r="S45" s="104" t="str">
        <f t="shared" si="24"/>
        <v>806.8024418</v>
      </c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</row>
    <row r="48">
      <c r="A48" s="27"/>
      <c r="C48" s="60" t="s">
        <v>55</v>
      </c>
      <c r="D48" s="122" t="s">
        <v>82</v>
      </c>
      <c r="E48" s="8"/>
      <c r="F48" s="122" t="s">
        <v>83</v>
      </c>
      <c r="G48" s="8"/>
      <c r="H48" s="122" t="s">
        <v>84</v>
      </c>
      <c r="I48" s="8"/>
      <c r="J48" s="122" t="s">
        <v>85</v>
      </c>
      <c r="K48" s="8"/>
      <c r="L48" s="122" t="s">
        <v>86</v>
      </c>
      <c r="M48" s="8"/>
      <c r="N48" s="122" t="s">
        <v>87</v>
      </c>
      <c r="O48" s="8"/>
      <c r="P48" s="122" t="s">
        <v>88</v>
      </c>
      <c r="Q48" s="9"/>
      <c r="R48" s="122" t="s">
        <v>89</v>
      </c>
      <c r="S48" s="9"/>
      <c r="T48" s="111" t="s">
        <v>90</v>
      </c>
      <c r="U48" s="110" t="s">
        <v>91</v>
      </c>
      <c r="V48" s="8"/>
    </row>
    <row r="49">
      <c r="A49" s="27"/>
      <c r="C49" s="62" t="s">
        <v>52</v>
      </c>
      <c r="D49" s="122">
        <v>10000.0</v>
      </c>
      <c r="E49" s="8"/>
      <c r="F49" s="122">
        <v>1000.0</v>
      </c>
      <c r="G49" s="8"/>
      <c r="H49" s="122">
        <v>1000.0</v>
      </c>
      <c r="I49" s="8"/>
      <c r="J49" s="122">
        <v>1000.0</v>
      </c>
      <c r="K49" s="8"/>
      <c r="L49" s="122">
        <v>1000.0</v>
      </c>
      <c r="M49" s="8"/>
      <c r="N49" s="122">
        <v>100.0</v>
      </c>
      <c r="O49" s="8"/>
      <c r="P49" s="122">
        <v>10.0</v>
      </c>
      <c r="Q49" s="9"/>
      <c r="R49" s="122">
        <v>1.0</v>
      </c>
      <c r="S49" s="9"/>
      <c r="T49" s="111" t="s">
        <v>93</v>
      </c>
      <c r="U49" s="110">
        <v>10000.0</v>
      </c>
      <c r="V49" s="8"/>
    </row>
    <row r="50">
      <c r="A50" s="27"/>
      <c r="C50" s="64" t="s">
        <v>53</v>
      </c>
      <c r="D50" s="124" t="s">
        <v>16</v>
      </c>
      <c r="E50" s="124" t="s">
        <v>0</v>
      </c>
      <c r="F50" s="124" t="s">
        <v>16</v>
      </c>
      <c r="G50" s="124" t="s">
        <v>0</v>
      </c>
      <c r="H50" s="124" t="s">
        <v>16</v>
      </c>
      <c r="I50" s="124" t="s">
        <v>0</v>
      </c>
      <c r="J50" s="124" t="s">
        <v>16</v>
      </c>
      <c r="K50" s="124" t="s">
        <v>0</v>
      </c>
      <c r="L50" s="124" t="s">
        <v>16</v>
      </c>
      <c r="M50" s="124" t="s">
        <v>0</v>
      </c>
      <c r="N50" s="124" t="s">
        <v>16</v>
      </c>
      <c r="O50" s="124" t="s">
        <v>0</v>
      </c>
      <c r="P50" s="124" t="s">
        <v>16</v>
      </c>
      <c r="Q50" s="124" t="s">
        <v>0</v>
      </c>
      <c r="R50" s="124" t="s">
        <v>16</v>
      </c>
      <c r="S50" s="124" t="s">
        <v>0</v>
      </c>
      <c r="T50" s="24" t="s">
        <v>94</v>
      </c>
      <c r="U50" s="43" t="s">
        <v>16</v>
      </c>
      <c r="V50" s="43" t="s">
        <v>0</v>
      </c>
    </row>
    <row r="51">
      <c r="A51" s="116" t="s">
        <v>43</v>
      </c>
      <c r="C51" s="66">
        <v>1.0</v>
      </c>
      <c r="D51" s="117">
        <v>49.257</v>
      </c>
      <c r="E51" s="117">
        <v>25.111</v>
      </c>
      <c r="F51" s="117">
        <v>5.712</v>
      </c>
      <c r="G51" s="117">
        <v>2.787</v>
      </c>
      <c r="H51" s="117">
        <v>6.931</v>
      </c>
      <c r="I51" s="117">
        <v>3.204</v>
      </c>
      <c r="J51" s="125">
        <v>23.775</v>
      </c>
      <c r="K51" s="125">
        <v>13.554</v>
      </c>
      <c r="L51" s="125">
        <v>238.099</v>
      </c>
      <c r="M51" s="125">
        <v>174.561</v>
      </c>
      <c r="N51" s="125">
        <v>221.368</v>
      </c>
      <c r="O51" s="125">
        <v>172.143</v>
      </c>
      <c r="P51" s="117">
        <v>221.064</v>
      </c>
      <c r="Q51" s="117">
        <v>197.736</v>
      </c>
      <c r="R51" s="117">
        <v>221.482</v>
      </c>
      <c r="S51" s="117">
        <v>192.967</v>
      </c>
      <c r="T51" s="24">
        <v>7.981</v>
      </c>
      <c r="U51" s="24">
        <v>50.868</v>
      </c>
      <c r="V51" s="24">
        <v>25.75</v>
      </c>
    </row>
    <row r="52">
      <c r="A52" s="116" t="s">
        <v>44</v>
      </c>
      <c r="C52" s="66">
        <v>2.0</v>
      </c>
      <c r="D52" s="117">
        <v>51.36</v>
      </c>
      <c r="E52" s="117">
        <v>25.723</v>
      </c>
      <c r="F52" s="117">
        <v>5.535</v>
      </c>
      <c r="G52" s="117">
        <v>2.651</v>
      </c>
      <c r="H52" s="117">
        <v>7.093</v>
      </c>
      <c r="I52" s="117">
        <v>3.31</v>
      </c>
      <c r="J52" s="125">
        <v>26.72</v>
      </c>
      <c r="K52" s="125">
        <v>11.518</v>
      </c>
      <c r="L52" s="125">
        <v>216.909</v>
      </c>
      <c r="M52" s="125">
        <v>162.87</v>
      </c>
      <c r="N52" s="125">
        <v>220.44</v>
      </c>
      <c r="O52" s="125">
        <v>171.358</v>
      </c>
      <c r="P52" s="117">
        <v>222.648</v>
      </c>
      <c r="Q52" s="117">
        <v>198.525</v>
      </c>
      <c r="R52" s="117">
        <v>223.423</v>
      </c>
      <c r="S52" s="117">
        <v>190.896</v>
      </c>
      <c r="T52" s="24">
        <v>8.002</v>
      </c>
      <c r="U52" s="24">
        <v>46.883</v>
      </c>
      <c r="V52" s="24">
        <v>24.707</v>
      </c>
    </row>
    <row r="53">
      <c r="A53" s="116" t="s">
        <v>45</v>
      </c>
      <c r="C53" s="66">
        <v>3.0</v>
      </c>
      <c r="D53" s="117">
        <v>48.173</v>
      </c>
      <c r="E53" s="117">
        <v>25.683</v>
      </c>
      <c r="F53" s="117">
        <v>5.231</v>
      </c>
      <c r="G53" s="117">
        <v>2.59</v>
      </c>
      <c r="H53" s="117">
        <v>6.72</v>
      </c>
      <c r="I53" s="117">
        <v>3.251</v>
      </c>
      <c r="J53" s="125">
        <v>25.73</v>
      </c>
      <c r="K53" s="125">
        <v>13.531</v>
      </c>
      <c r="L53" s="125">
        <v>217.691</v>
      </c>
      <c r="M53" s="125">
        <v>162.156</v>
      </c>
      <c r="N53" s="125">
        <v>206.058</v>
      </c>
      <c r="O53" s="125">
        <v>160.475</v>
      </c>
      <c r="P53" s="117">
        <v>217.196</v>
      </c>
      <c r="Q53" s="117">
        <v>198.147</v>
      </c>
      <c r="R53" s="117">
        <v>219.293</v>
      </c>
      <c r="S53" s="117">
        <v>191.196</v>
      </c>
      <c r="T53" s="24">
        <v>8.129</v>
      </c>
      <c r="U53" s="24">
        <v>49.02</v>
      </c>
      <c r="V53" s="24">
        <v>24.736</v>
      </c>
    </row>
    <row r="54">
      <c r="A54" s="116" t="s">
        <v>46</v>
      </c>
      <c r="C54" s="66">
        <v>4.0</v>
      </c>
      <c r="D54" s="117">
        <v>50.857</v>
      </c>
      <c r="E54" s="117">
        <v>26.027</v>
      </c>
      <c r="F54" s="117">
        <v>5.584</v>
      </c>
      <c r="G54" s="117">
        <v>2.69</v>
      </c>
      <c r="H54" s="117">
        <v>7.033</v>
      </c>
      <c r="I54" s="117">
        <v>3.719</v>
      </c>
      <c r="J54" s="125">
        <v>25.487</v>
      </c>
      <c r="K54" s="125">
        <v>13.581</v>
      </c>
      <c r="L54" s="125">
        <v>212.029</v>
      </c>
      <c r="M54" s="125">
        <v>161.471</v>
      </c>
      <c r="N54" s="125">
        <v>220.175</v>
      </c>
      <c r="O54" s="125">
        <v>171.553</v>
      </c>
      <c r="P54" s="117">
        <v>197.235</v>
      </c>
      <c r="Q54" s="117">
        <v>177.456</v>
      </c>
      <c r="R54" s="117">
        <v>218.342</v>
      </c>
      <c r="S54" s="117">
        <v>187.999</v>
      </c>
      <c r="T54" s="24">
        <v>7.988</v>
      </c>
      <c r="U54" s="24">
        <v>47.852</v>
      </c>
      <c r="V54" s="24">
        <v>24.54</v>
      </c>
    </row>
    <row r="55">
      <c r="A55" s="116" t="s">
        <v>96</v>
      </c>
      <c r="C55" s="66">
        <v>5.0</v>
      </c>
      <c r="D55" s="117">
        <v>48.609</v>
      </c>
      <c r="E55" s="117">
        <v>26.149</v>
      </c>
      <c r="F55" s="117">
        <v>5.129</v>
      </c>
      <c r="G55" s="117">
        <v>2.606</v>
      </c>
      <c r="H55" s="117">
        <v>6.846</v>
      </c>
      <c r="I55" s="117">
        <v>3.169</v>
      </c>
      <c r="J55" s="125">
        <v>25.301</v>
      </c>
      <c r="K55" s="125">
        <v>11.521</v>
      </c>
      <c r="L55" s="125">
        <v>217.53</v>
      </c>
      <c r="M55" s="125">
        <v>165.455</v>
      </c>
      <c r="N55" s="125">
        <v>223.181</v>
      </c>
      <c r="O55" s="125">
        <v>173.117</v>
      </c>
      <c r="P55" s="117">
        <v>219.193</v>
      </c>
      <c r="Q55" s="117">
        <v>198.397</v>
      </c>
      <c r="R55" s="117">
        <v>220.348</v>
      </c>
      <c r="S55" s="117">
        <v>193.371</v>
      </c>
      <c r="T55" s="24">
        <v>8.048</v>
      </c>
      <c r="U55" s="24">
        <v>47.006</v>
      </c>
      <c r="V55" s="24">
        <v>25.308</v>
      </c>
    </row>
    <row r="56">
      <c r="A56" s="116" t="s">
        <v>97</v>
      </c>
      <c r="C56" s="66">
        <v>6.0</v>
      </c>
      <c r="D56" s="117">
        <v>48.677</v>
      </c>
      <c r="E56" s="117">
        <v>26.192</v>
      </c>
      <c r="F56" s="117">
        <v>5.094</v>
      </c>
      <c r="G56" s="117">
        <v>2.578</v>
      </c>
      <c r="H56" s="117">
        <v>6.838</v>
      </c>
      <c r="I56" s="117">
        <v>3.175</v>
      </c>
      <c r="J56" s="125">
        <v>26.606</v>
      </c>
      <c r="K56" s="125">
        <v>11.569</v>
      </c>
      <c r="L56" s="125">
        <v>213.452</v>
      </c>
      <c r="M56" s="125">
        <v>162.947</v>
      </c>
      <c r="N56" s="125">
        <v>221.931</v>
      </c>
      <c r="O56" s="125">
        <v>168.609</v>
      </c>
      <c r="P56" s="117">
        <v>221.018</v>
      </c>
      <c r="Q56" s="117">
        <v>198.584</v>
      </c>
      <c r="R56" s="117">
        <v>219.436</v>
      </c>
      <c r="S56" s="117">
        <v>193.202</v>
      </c>
      <c r="T56" s="24">
        <v>7.92</v>
      </c>
      <c r="U56" s="24">
        <v>47.841</v>
      </c>
      <c r="V56" s="24">
        <v>24.977</v>
      </c>
    </row>
    <row r="57">
      <c r="A57" s="116" t="s">
        <v>98</v>
      </c>
      <c r="C57" s="66">
        <v>7.0</v>
      </c>
      <c r="D57" s="117">
        <v>49.323</v>
      </c>
      <c r="E57" s="117">
        <v>26.597</v>
      </c>
      <c r="F57" s="117">
        <v>5.654</v>
      </c>
      <c r="G57" s="117">
        <v>2.612</v>
      </c>
      <c r="H57" s="117">
        <v>6.862</v>
      </c>
      <c r="I57" s="117">
        <v>3.215</v>
      </c>
      <c r="J57" s="125">
        <v>25.411</v>
      </c>
      <c r="K57" s="125">
        <v>13.576</v>
      </c>
      <c r="L57" s="125">
        <v>226.625</v>
      </c>
      <c r="M57" s="125">
        <v>173.536</v>
      </c>
      <c r="N57" s="125">
        <v>219.791</v>
      </c>
      <c r="O57" s="125">
        <v>172.916</v>
      </c>
      <c r="P57" s="117">
        <v>218.755</v>
      </c>
      <c r="Q57" s="117">
        <v>197.279</v>
      </c>
      <c r="R57" s="117">
        <v>219.186</v>
      </c>
      <c r="S57" s="117">
        <v>193.457</v>
      </c>
      <c r="T57" s="24">
        <v>7.965</v>
      </c>
      <c r="U57" s="24">
        <v>50.974</v>
      </c>
      <c r="V57" s="24">
        <v>25.695</v>
      </c>
    </row>
    <row r="58">
      <c r="A58" s="116" t="s">
        <v>99</v>
      </c>
      <c r="C58" s="66">
        <v>8.0</v>
      </c>
      <c r="D58" s="117">
        <v>52.885</v>
      </c>
      <c r="E58" s="117">
        <v>27.41</v>
      </c>
      <c r="F58" s="117">
        <v>5.275</v>
      </c>
      <c r="G58" s="117">
        <v>2.665</v>
      </c>
      <c r="H58" s="117">
        <v>7.17</v>
      </c>
      <c r="I58" s="117">
        <v>3.299</v>
      </c>
      <c r="J58" s="125">
        <v>27.219</v>
      </c>
      <c r="K58" s="125">
        <v>12.545</v>
      </c>
      <c r="L58" s="125">
        <v>222.467</v>
      </c>
      <c r="M58" s="125">
        <v>173.93</v>
      </c>
      <c r="N58" s="125">
        <v>223.67</v>
      </c>
      <c r="O58" s="125">
        <v>173.3</v>
      </c>
      <c r="P58" s="117">
        <v>216.687</v>
      </c>
      <c r="Q58" s="117">
        <v>196.973</v>
      </c>
      <c r="R58" s="117">
        <v>217.816</v>
      </c>
      <c r="S58" s="117">
        <v>193.964</v>
      </c>
      <c r="T58" s="24">
        <v>7.952</v>
      </c>
      <c r="U58" s="24">
        <v>49.525</v>
      </c>
      <c r="V58" s="24">
        <v>25.056</v>
      </c>
    </row>
    <row r="59">
      <c r="A59" s="116" t="s">
        <v>100</v>
      </c>
      <c r="C59" s="66">
        <v>9.0</v>
      </c>
      <c r="D59" s="117">
        <v>50.563</v>
      </c>
      <c r="E59" s="117">
        <v>26.087</v>
      </c>
      <c r="F59" s="117">
        <v>5.067</v>
      </c>
      <c r="G59" s="117">
        <v>2.665</v>
      </c>
      <c r="H59" s="117">
        <v>6.822</v>
      </c>
      <c r="I59" s="117">
        <v>3.605</v>
      </c>
      <c r="J59" s="125">
        <v>25.378</v>
      </c>
      <c r="K59" s="125">
        <v>12.522</v>
      </c>
      <c r="L59" s="125">
        <v>223.322</v>
      </c>
      <c r="M59" s="125">
        <v>173.779</v>
      </c>
      <c r="N59" s="125">
        <v>221.769</v>
      </c>
      <c r="O59" s="125">
        <v>170.741</v>
      </c>
      <c r="P59" s="117">
        <v>219.602</v>
      </c>
      <c r="Q59" s="117">
        <v>197.535</v>
      </c>
      <c r="R59" s="117">
        <v>223.653</v>
      </c>
      <c r="S59" s="117">
        <v>188.376</v>
      </c>
      <c r="T59" s="24">
        <v>8.045</v>
      </c>
      <c r="U59" s="24">
        <v>45.777</v>
      </c>
      <c r="V59" s="24">
        <v>24.483</v>
      </c>
    </row>
    <row r="60">
      <c r="A60" s="116" t="s">
        <v>101</v>
      </c>
      <c r="C60" s="66">
        <v>10.0</v>
      </c>
      <c r="D60" s="117">
        <v>45.848</v>
      </c>
      <c r="E60" s="117">
        <v>25.794</v>
      </c>
      <c r="F60" s="117">
        <v>4.932</v>
      </c>
      <c r="G60" s="117">
        <v>2.612</v>
      </c>
      <c r="H60" s="117">
        <v>6.706</v>
      </c>
      <c r="I60" s="117">
        <v>3.207</v>
      </c>
      <c r="J60" s="125">
        <v>25.458</v>
      </c>
      <c r="K60" s="125">
        <v>11.801</v>
      </c>
      <c r="L60" s="125">
        <v>223.037</v>
      </c>
      <c r="M60" s="125">
        <v>174.475</v>
      </c>
      <c r="N60" s="125">
        <v>220.673</v>
      </c>
      <c r="O60" s="125">
        <v>170.492</v>
      </c>
      <c r="P60" s="117">
        <v>215.772</v>
      </c>
      <c r="Q60" s="117">
        <v>197.777</v>
      </c>
      <c r="R60" s="117">
        <v>217.87</v>
      </c>
      <c r="S60" s="117">
        <v>193.153</v>
      </c>
      <c r="T60" s="24">
        <v>8.039</v>
      </c>
      <c r="U60" s="24">
        <v>48.346</v>
      </c>
      <c r="V60" s="24">
        <v>25.174</v>
      </c>
    </row>
    <row r="61">
      <c r="A61" s="116" t="s">
        <v>102</v>
      </c>
      <c r="C61" s="66">
        <v>11.0</v>
      </c>
      <c r="D61" s="117">
        <v>51.11</v>
      </c>
      <c r="E61" s="117">
        <v>26.655</v>
      </c>
      <c r="F61" s="117">
        <v>5.217</v>
      </c>
      <c r="G61" s="117">
        <v>2.698</v>
      </c>
      <c r="H61" s="117">
        <v>7.024</v>
      </c>
      <c r="I61" s="117">
        <v>3.273</v>
      </c>
      <c r="J61" s="125">
        <v>26.324</v>
      </c>
      <c r="K61" s="125">
        <v>11.526</v>
      </c>
      <c r="L61" s="125">
        <v>214.712</v>
      </c>
      <c r="M61" s="125">
        <v>157.792</v>
      </c>
      <c r="N61" s="125">
        <v>220.574</v>
      </c>
      <c r="O61" s="125">
        <v>170.195</v>
      </c>
      <c r="P61" s="117">
        <v>221.249</v>
      </c>
      <c r="Q61" s="117">
        <v>197.035</v>
      </c>
      <c r="R61" s="117">
        <v>219.582</v>
      </c>
      <c r="S61" s="117">
        <v>197.683</v>
      </c>
      <c r="T61" s="24">
        <v>8.218</v>
      </c>
      <c r="U61" s="24">
        <v>49.294</v>
      </c>
      <c r="V61" s="24">
        <v>24.925</v>
      </c>
    </row>
    <row r="62">
      <c r="A62" s="116" t="s">
        <v>103</v>
      </c>
      <c r="C62" s="66">
        <v>12.0</v>
      </c>
      <c r="D62" s="117">
        <v>51.149</v>
      </c>
      <c r="E62" s="117">
        <v>25.509</v>
      </c>
      <c r="F62" s="117">
        <v>5.756</v>
      </c>
      <c r="G62" s="117">
        <v>2.711</v>
      </c>
      <c r="H62" s="117">
        <v>7.178</v>
      </c>
      <c r="I62" s="117">
        <v>3.407</v>
      </c>
      <c r="J62" s="125">
        <v>26.577</v>
      </c>
      <c r="K62" s="125">
        <v>12.347</v>
      </c>
      <c r="L62" s="125">
        <v>211.626</v>
      </c>
      <c r="M62" s="125">
        <v>161.588</v>
      </c>
      <c r="N62" s="125">
        <v>217.766</v>
      </c>
      <c r="O62" s="125">
        <v>169.193</v>
      </c>
      <c r="P62" s="117">
        <v>218.927</v>
      </c>
      <c r="Q62" s="117">
        <v>197.68</v>
      </c>
      <c r="R62" s="117">
        <v>217.869</v>
      </c>
      <c r="S62" s="117">
        <v>194.058</v>
      </c>
      <c r="T62" s="24">
        <v>8.164</v>
      </c>
      <c r="U62" s="24">
        <v>48.747</v>
      </c>
      <c r="V62" s="24">
        <v>24.869</v>
      </c>
    </row>
    <row r="63">
      <c r="A63" s="116" t="s">
        <v>104</v>
      </c>
      <c r="C63" s="66">
        <v>13.0</v>
      </c>
      <c r="D63" s="117">
        <v>50.538</v>
      </c>
      <c r="E63" s="117">
        <v>26.148</v>
      </c>
      <c r="F63" s="117">
        <v>5.137</v>
      </c>
      <c r="G63" s="117">
        <v>2.653</v>
      </c>
      <c r="H63" s="117">
        <v>6.998</v>
      </c>
      <c r="I63" s="117">
        <v>3.238</v>
      </c>
      <c r="J63" s="125">
        <v>25.658</v>
      </c>
      <c r="K63" s="125">
        <v>13.671</v>
      </c>
      <c r="L63" s="125">
        <v>214.259</v>
      </c>
      <c r="M63" s="125">
        <v>163.326</v>
      </c>
      <c r="N63" s="125">
        <v>221.792</v>
      </c>
      <c r="O63" s="125">
        <v>172.83</v>
      </c>
      <c r="P63" s="117">
        <v>217.029</v>
      </c>
      <c r="Q63" s="117">
        <v>198.401</v>
      </c>
      <c r="R63" s="117">
        <v>222.077</v>
      </c>
      <c r="S63" s="117">
        <v>193.915</v>
      </c>
      <c r="T63" s="24">
        <v>7.941</v>
      </c>
      <c r="U63" s="24">
        <v>50.329</v>
      </c>
      <c r="V63" s="24">
        <v>24.679</v>
      </c>
    </row>
    <row r="64">
      <c r="A64" s="116" t="s">
        <v>105</v>
      </c>
      <c r="C64" s="66">
        <v>14.0</v>
      </c>
      <c r="D64" s="117">
        <v>51.258</v>
      </c>
      <c r="E64" s="117">
        <v>26.364</v>
      </c>
      <c r="F64" s="117">
        <v>5.466</v>
      </c>
      <c r="G64" s="117">
        <v>2.632</v>
      </c>
      <c r="H64" s="117">
        <v>7.049</v>
      </c>
      <c r="I64" s="117">
        <v>3.215</v>
      </c>
      <c r="J64" s="125">
        <v>26.256</v>
      </c>
      <c r="K64" s="125">
        <v>11.725</v>
      </c>
      <c r="L64" s="125">
        <v>216.066</v>
      </c>
      <c r="M64" s="125">
        <v>162.775</v>
      </c>
      <c r="N64" s="125">
        <v>218.995</v>
      </c>
      <c r="O64" s="125">
        <v>171.687</v>
      </c>
      <c r="P64" s="117">
        <v>217.652</v>
      </c>
      <c r="Q64" s="117">
        <v>198.483</v>
      </c>
      <c r="R64" s="117">
        <v>217.705</v>
      </c>
      <c r="S64" s="117">
        <v>193.063</v>
      </c>
      <c r="T64" s="24">
        <v>8.049</v>
      </c>
      <c r="U64" s="24">
        <v>48.922</v>
      </c>
      <c r="V64" s="24">
        <v>24.385</v>
      </c>
    </row>
    <row r="65">
      <c r="A65" s="116" t="s">
        <v>106</v>
      </c>
      <c r="C65" s="66">
        <v>15.0</v>
      </c>
      <c r="D65" s="117">
        <v>51.718</v>
      </c>
      <c r="E65" s="117">
        <v>26.605</v>
      </c>
      <c r="F65" s="117">
        <v>5.151</v>
      </c>
      <c r="G65" s="117">
        <v>2.572</v>
      </c>
      <c r="H65" s="117">
        <v>6.794</v>
      </c>
      <c r="I65" s="117">
        <v>3.2</v>
      </c>
      <c r="J65" s="125">
        <v>26.028</v>
      </c>
      <c r="K65" s="125">
        <v>11.518</v>
      </c>
      <c r="L65" s="125">
        <v>211.86</v>
      </c>
      <c r="M65" s="125">
        <v>163.164</v>
      </c>
      <c r="N65" s="125">
        <v>222.142</v>
      </c>
      <c r="O65" s="125">
        <v>171.651</v>
      </c>
      <c r="P65" s="117">
        <v>216.06</v>
      </c>
      <c r="Q65" s="117">
        <v>194.654</v>
      </c>
      <c r="R65" s="117">
        <v>218.774</v>
      </c>
      <c r="S65" s="117">
        <v>192.828</v>
      </c>
      <c r="T65" s="24">
        <v>7.938</v>
      </c>
      <c r="U65" s="24">
        <v>50.21</v>
      </c>
      <c r="V65" s="24">
        <v>25.227</v>
      </c>
    </row>
    <row r="66">
      <c r="A66" s="116" t="s">
        <v>107</v>
      </c>
      <c r="C66" s="66">
        <v>16.0</v>
      </c>
      <c r="D66" s="117">
        <v>50.45</v>
      </c>
      <c r="E66" s="117">
        <v>26.546</v>
      </c>
      <c r="F66" s="117">
        <v>5.682</v>
      </c>
      <c r="G66" s="117">
        <v>2.713</v>
      </c>
      <c r="H66" s="117">
        <v>6.779</v>
      </c>
      <c r="I66" s="117">
        <v>3.269</v>
      </c>
      <c r="J66" s="125">
        <v>26.067</v>
      </c>
      <c r="K66" s="125">
        <v>11.803</v>
      </c>
      <c r="L66" s="125">
        <v>222.851</v>
      </c>
      <c r="M66" s="125">
        <v>172.434</v>
      </c>
      <c r="N66" s="125">
        <v>200.422</v>
      </c>
      <c r="O66" s="125">
        <v>158.403</v>
      </c>
      <c r="P66" s="117">
        <v>217.873</v>
      </c>
      <c r="Q66" s="117">
        <v>192.589</v>
      </c>
      <c r="R66" s="117">
        <v>221.866</v>
      </c>
      <c r="S66" s="117">
        <v>194.435</v>
      </c>
      <c r="T66" s="24">
        <v>7.884</v>
      </c>
      <c r="U66" s="24">
        <v>48.61</v>
      </c>
      <c r="V66" s="24">
        <v>24.869</v>
      </c>
    </row>
    <row r="67">
      <c r="A67" s="116" t="s">
        <v>108</v>
      </c>
      <c r="C67" s="66">
        <v>17.0</v>
      </c>
      <c r="D67" s="117">
        <v>47.012</v>
      </c>
      <c r="E67" s="117">
        <v>27.288</v>
      </c>
      <c r="F67" s="117">
        <v>5.211</v>
      </c>
      <c r="G67" s="117">
        <v>2.618</v>
      </c>
      <c r="H67" s="117">
        <v>6.789</v>
      </c>
      <c r="I67" s="117">
        <v>3.138</v>
      </c>
      <c r="J67" s="125">
        <v>26.125</v>
      </c>
      <c r="K67" s="125">
        <v>11.806</v>
      </c>
      <c r="L67" s="125">
        <v>216.044</v>
      </c>
      <c r="M67" s="125">
        <v>169.148</v>
      </c>
      <c r="N67" s="125">
        <v>208.255</v>
      </c>
      <c r="O67" s="125">
        <v>160.819</v>
      </c>
      <c r="P67" s="117">
        <v>195.357</v>
      </c>
      <c r="Q67" s="117">
        <v>169.695</v>
      </c>
      <c r="R67" s="117">
        <v>217.664</v>
      </c>
      <c r="S67" s="117">
        <v>192.97</v>
      </c>
      <c r="T67" s="24">
        <v>7.978</v>
      </c>
      <c r="U67" s="24">
        <v>45.771</v>
      </c>
      <c r="V67" s="24">
        <v>24.1</v>
      </c>
    </row>
    <row r="68">
      <c r="A68" s="116" t="s">
        <v>109</v>
      </c>
      <c r="C68" s="66">
        <v>18.0</v>
      </c>
      <c r="D68" s="117">
        <v>52.024</v>
      </c>
      <c r="E68" s="117">
        <v>26.607</v>
      </c>
      <c r="F68" s="117">
        <v>4.927</v>
      </c>
      <c r="G68" s="117">
        <v>2.601</v>
      </c>
      <c r="H68" s="117">
        <v>6.555</v>
      </c>
      <c r="I68" s="117">
        <v>3.105</v>
      </c>
      <c r="J68" s="125">
        <v>25.357</v>
      </c>
      <c r="K68" s="125">
        <v>13.543</v>
      </c>
      <c r="L68" s="125">
        <v>216.148</v>
      </c>
      <c r="M68" s="125">
        <v>163.715</v>
      </c>
      <c r="N68" s="125">
        <v>220.417</v>
      </c>
      <c r="O68" s="125">
        <v>170.592</v>
      </c>
      <c r="P68" s="117">
        <v>196.5</v>
      </c>
      <c r="Q68" s="117">
        <v>175.938</v>
      </c>
      <c r="R68" s="117">
        <v>220.535</v>
      </c>
      <c r="S68" s="117">
        <v>194.492</v>
      </c>
      <c r="T68" s="24">
        <v>8.029</v>
      </c>
      <c r="U68" s="24">
        <v>46.867</v>
      </c>
      <c r="V68" s="24">
        <v>24.715</v>
      </c>
    </row>
    <row r="69">
      <c r="A69" s="116" t="s">
        <v>110</v>
      </c>
      <c r="C69" s="66">
        <v>19.0</v>
      </c>
      <c r="D69" s="117">
        <v>47.503</v>
      </c>
      <c r="E69" s="117">
        <v>26.011</v>
      </c>
      <c r="F69" s="117">
        <v>5.302</v>
      </c>
      <c r="G69" s="117">
        <v>2.688</v>
      </c>
      <c r="H69" s="117">
        <v>6.709</v>
      </c>
      <c r="I69" s="117">
        <v>3.227</v>
      </c>
      <c r="J69" s="125">
        <v>25.938</v>
      </c>
      <c r="K69" s="125">
        <v>11.52</v>
      </c>
      <c r="L69" s="125">
        <v>210.699</v>
      </c>
      <c r="M69" s="125">
        <v>160.549</v>
      </c>
      <c r="N69" s="125">
        <v>202.322</v>
      </c>
      <c r="O69" s="125">
        <v>157.089</v>
      </c>
      <c r="P69" s="117">
        <v>216.15</v>
      </c>
      <c r="Q69" s="117">
        <v>196.265</v>
      </c>
      <c r="R69" s="117">
        <v>222.895</v>
      </c>
      <c r="S69" s="117">
        <v>192.956</v>
      </c>
      <c r="T69" s="24">
        <v>7.961</v>
      </c>
      <c r="U69" s="24">
        <v>50.962</v>
      </c>
      <c r="V69" s="24">
        <v>25.167</v>
      </c>
    </row>
    <row r="70">
      <c r="A70" s="116" t="s">
        <v>111</v>
      </c>
      <c r="C70" s="66">
        <v>20.0</v>
      </c>
      <c r="D70" s="117">
        <v>47.986</v>
      </c>
      <c r="E70" s="117">
        <v>26.289</v>
      </c>
      <c r="F70" s="117">
        <v>5.341</v>
      </c>
      <c r="G70" s="117">
        <v>2.606</v>
      </c>
      <c r="H70" s="117">
        <v>7.167</v>
      </c>
      <c r="I70" s="117">
        <v>3.287</v>
      </c>
      <c r="J70" s="125">
        <v>26.046</v>
      </c>
      <c r="K70" s="125">
        <v>12.536</v>
      </c>
      <c r="L70" s="125">
        <v>218.38</v>
      </c>
      <c r="M70" s="125">
        <v>166.589</v>
      </c>
      <c r="N70" s="125">
        <v>219.333</v>
      </c>
      <c r="O70" s="125">
        <v>172.315</v>
      </c>
      <c r="P70" s="117">
        <v>196.797</v>
      </c>
      <c r="Q70" s="117">
        <v>176.954</v>
      </c>
      <c r="R70" s="117">
        <v>218.493</v>
      </c>
      <c r="S70" s="117">
        <v>192.735</v>
      </c>
      <c r="T70" s="24">
        <v>8.088</v>
      </c>
      <c r="U70" s="24">
        <v>47.144</v>
      </c>
      <c r="V70" s="24">
        <v>24.727</v>
      </c>
    </row>
    <row r="71">
      <c r="A71" s="116" t="s">
        <v>112</v>
      </c>
      <c r="C71" s="66">
        <v>21.0</v>
      </c>
      <c r="D71" s="117">
        <v>47.529</v>
      </c>
      <c r="E71" s="117">
        <v>26.528</v>
      </c>
      <c r="F71" s="117">
        <v>4.87</v>
      </c>
      <c r="G71" s="117">
        <v>2.536</v>
      </c>
      <c r="H71" s="117">
        <v>6.728</v>
      </c>
      <c r="I71" s="117">
        <v>3.113</v>
      </c>
      <c r="J71" s="125">
        <v>25.389</v>
      </c>
      <c r="K71" s="125">
        <v>13.563</v>
      </c>
      <c r="L71" s="125">
        <v>222.745</v>
      </c>
      <c r="M71" s="125">
        <v>170.56</v>
      </c>
      <c r="N71" s="125">
        <v>219.698</v>
      </c>
      <c r="O71" s="125">
        <v>172.993</v>
      </c>
      <c r="P71" s="117">
        <v>217.729</v>
      </c>
      <c r="Q71" s="117">
        <v>198.304</v>
      </c>
      <c r="R71" s="117">
        <v>243.956</v>
      </c>
      <c r="S71" s="117">
        <v>193.712</v>
      </c>
      <c r="T71" s="24">
        <v>8.073</v>
      </c>
      <c r="U71" s="24">
        <v>46.734</v>
      </c>
      <c r="V71" s="24">
        <v>24.885</v>
      </c>
    </row>
    <row r="72">
      <c r="A72" s="116" t="s">
        <v>113</v>
      </c>
      <c r="C72" s="66">
        <v>22.0</v>
      </c>
      <c r="D72" s="117">
        <v>53.773</v>
      </c>
      <c r="E72" s="117">
        <v>27.138</v>
      </c>
      <c r="F72" s="117">
        <v>4.841</v>
      </c>
      <c r="G72" s="117">
        <v>2.561</v>
      </c>
      <c r="H72" s="117">
        <v>6.687</v>
      </c>
      <c r="I72" s="117">
        <v>3.146</v>
      </c>
      <c r="J72" s="125">
        <v>24.812</v>
      </c>
      <c r="K72" s="125">
        <v>14.128</v>
      </c>
      <c r="L72" s="125">
        <v>222.057</v>
      </c>
      <c r="M72" s="125">
        <v>169.55</v>
      </c>
      <c r="N72" s="125">
        <v>219.522</v>
      </c>
      <c r="O72" s="125">
        <v>172.222</v>
      </c>
      <c r="P72" s="117">
        <v>218.706</v>
      </c>
      <c r="Q72" s="117">
        <v>204.283</v>
      </c>
      <c r="R72" s="117">
        <v>219.01</v>
      </c>
      <c r="S72" s="117">
        <v>193.519</v>
      </c>
      <c r="T72" s="24">
        <v>8.263</v>
      </c>
      <c r="U72" s="24">
        <v>46.377</v>
      </c>
      <c r="V72" s="24">
        <v>24.138</v>
      </c>
    </row>
    <row r="73">
      <c r="A73" s="116" t="s">
        <v>114</v>
      </c>
      <c r="C73" s="66">
        <v>23.0</v>
      </c>
      <c r="D73" s="117">
        <v>47.771</v>
      </c>
      <c r="E73" s="117">
        <v>25.752</v>
      </c>
      <c r="F73" s="117">
        <v>5.414</v>
      </c>
      <c r="G73" s="117">
        <v>2.702</v>
      </c>
      <c r="H73" s="117">
        <v>6.589</v>
      </c>
      <c r="I73" s="117">
        <v>3.198</v>
      </c>
      <c r="J73" s="125">
        <v>25.435</v>
      </c>
      <c r="K73" s="125">
        <v>12.586</v>
      </c>
      <c r="L73" s="125">
        <v>212.617</v>
      </c>
      <c r="M73" s="125">
        <v>163.306</v>
      </c>
      <c r="N73" s="125">
        <v>219.053</v>
      </c>
      <c r="O73" s="125">
        <v>167.929</v>
      </c>
      <c r="P73" s="117">
        <v>216.882</v>
      </c>
      <c r="Q73" s="117">
        <v>199.862</v>
      </c>
      <c r="R73" s="117">
        <v>224.158</v>
      </c>
      <c r="S73" s="117">
        <v>193.396</v>
      </c>
      <c r="T73" s="24">
        <v>8.064</v>
      </c>
      <c r="U73" s="24">
        <v>51.728</v>
      </c>
      <c r="V73" s="24">
        <v>25.509</v>
      </c>
    </row>
    <row r="74">
      <c r="A74" s="116" t="s">
        <v>115</v>
      </c>
      <c r="C74" s="66">
        <v>24.0</v>
      </c>
      <c r="D74" s="117">
        <v>49.437</v>
      </c>
      <c r="E74" s="117">
        <v>26.57</v>
      </c>
      <c r="F74" s="117">
        <v>5.176</v>
      </c>
      <c r="G74" s="117">
        <v>2.581</v>
      </c>
      <c r="H74" s="117">
        <v>7.315</v>
      </c>
      <c r="I74" s="117">
        <v>3.387</v>
      </c>
      <c r="J74" s="125">
        <v>26.057</v>
      </c>
      <c r="K74" s="125">
        <v>13.037</v>
      </c>
      <c r="L74" s="125">
        <v>221.678</v>
      </c>
      <c r="M74" s="125">
        <v>172.179</v>
      </c>
      <c r="N74" s="125">
        <v>224.521</v>
      </c>
      <c r="O74" s="125">
        <v>172.67</v>
      </c>
      <c r="P74" s="117">
        <v>221.306</v>
      </c>
      <c r="Q74" s="117">
        <v>198.198</v>
      </c>
      <c r="R74" s="117">
        <v>221.788</v>
      </c>
      <c r="S74" s="117">
        <v>192.774</v>
      </c>
      <c r="T74" s="24">
        <v>7.901</v>
      </c>
      <c r="U74" s="24">
        <v>47.619</v>
      </c>
      <c r="V74" s="24">
        <v>24.177</v>
      </c>
    </row>
    <row r="75">
      <c r="A75" s="116" t="s">
        <v>116</v>
      </c>
      <c r="C75" s="66">
        <v>25.0</v>
      </c>
      <c r="D75" s="117">
        <v>49.845</v>
      </c>
      <c r="E75" s="117">
        <v>25.925</v>
      </c>
      <c r="F75" s="117">
        <v>4.971</v>
      </c>
      <c r="G75" s="117">
        <v>2.611</v>
      </c>
      <c r="H75" s="117">
        <v>6.597</v>
      </c>
      <c r="I75" s="117">
        <v>3.083</v>
      </c>
      <c r="J75" s="125">
        <v>26.227</v>
      </c>
      <c r="K75" s="125">
        <v>11.713</v>
      </c>
      <c r="L75" s="125">
        <v>226.45</v>
      </c>
      <c r="M75" s="125">
        <v>173.441</v>
      </c>
      <c r="N75" s="125">
        <v>223.886</v>
      </c>
      <c r="O75" s="125">
        <v>172.888</v>
      </c>
      <c r="P75" s="117">
        <v>224.3</v>
      </c>
      <c r="Q75" s="117">
        <v>198.245</v>
      </c>
      <c r="R75" s="117">
        <v>217.953</v>
      </c>
      <c r="S75" s="117">
        <v>191.373</v>
      </c>
      <c r="T75" s="24">
        <v>7.951</v>
      </c>
      <c r="U75" s="24">
        <v>48.91</v>
      </c>
      <c r="V75" s="24">
        <v>24.964</v>
      </c>
    </row>
    <row r="76">
      <c r="A76" s="116" t="s">
        <v>117</v>
      </c>
      <c r="C76" s="66">
        <v>26.0</v>
      </c>
      <c r="D76" s="117">
        <v>48.557</v>
      </c>
      <c r="E76" s="117">
        <v>26.309</v>
      </c>
      <c r="F76" s="117">
        <v>5.321</v>
      </c>
      <c r="G76" s="117">
        <v>2.637</v>
      </c>
      <c r="H76" s="117">
        <v>6.79</v>
      </c>
      <c r="I76" s="117">
        <v>3.309</v>
      </c>
      <c r="J76" s="125">
        <v>25.557</v>
      </c>
      <c r="K76" s="125">
        <v>13.543</v>
      </c>
      <c r="L76" s="125">
        <v>213.421</v>
      </c>
      <c r="M76" s="125">
        <v>163.052</v>
      </c>
      <c r="N76" s="125">
        <v>217.664</v>
      </c>
      <c r="O76" s="125">
        <v>167.165</v>
      </c>
      <c r="P76" s="117">
        <v>218.901</v>
      </c>
      <c r="Q76" s="117">
        <v>198.195</v>
      </c>
      <c r="R76" s="117">
        <v>282.53</v>
      </c>
      <c r="S76" s="117">
        <v>193.286</v>
      </c>
      <c r="T76" s="24">
        <v>8.072</v>
      </c>
      <c r="U76" s="24">
        <v>46.963</v>
      </c>
      <c r="V76" s="24">
        <v>24.731</v>
      </c>
    </row>
    <row r="77">
      <c r="A77" s="116" t="s">
        <v>118</v>
      </c>
      <c r="C77" s="66">
        <v>27.0</v>
      </c>
      <c r="D77" s="117">
        <v>49.706</v>
      </c>
      <c r="E77" s="117">
        <v>26.319</v>
      </c>
      <c r="F77" s="117">
        <v>5.201</v>
      </c>
      <c r="G77" s="117">
        <v>2.731</v>
      </c>
      <c r="H77" s="117">
        <v>6.693</v>
      </c>
      <c r="I77" s="117">
        <v>3.265</v>
      </c>
      <c r="J77" s="125">
        <v>26.607</v>
      </c>
      <c r="K77" s="125">
        <v>11.801</v>
      </c>
      <c r="L77" s="125">
        <v>222.4</v>
      </c>
      <c r="M77" s="125">
        <v>173.88</v>
      </c>
      <c r="N77" s="125">
        <v>218.745</v>
      </c>
      <c r="O77" s="125">
        <v>170.878</v>
      </c>
      <c r="P77" s="117">
        <v>219.122</v>
      </c>
      <c r="Q77" s="117">
        <v>198.241</v>
      </c>
      <c r="R77" s="117">
        <v>217.692</v>
      </c>
      <c r="S77" s="117">
        <v>194.076</v>
      </c>
      <c r="T77" s="24">
        <v>8.225</v>
      </c>
      <c r="U77" s="24">
        <v>48.911</v>
      </c>
      <c r="V77" s="24">
        <v>24.748</v>
      </c>
    </row>
    <row r="78">
      <c r="A78" s="116" t="s">
        <v>119</v>
      </c>
      <c r="C78" s="66">
        <v>28.0</v>
      </c>
      <c r="D78" s="117">
        <v>50.197</v>
      </c>
      <c r="E78" s="117">
        <v>25.672</v>
      </c>
      <c r="F78" s="117">
        <v>5.1</v>
      </c>
      <c r="G78" s="117">
        <v>2.605</v>
      </c>
      <c r="H78" s="117">
        <v>6.677</v>
      </c>
      <c r="I78" s="117">
        <v>3.31</v>
      </c>
      <c r="J78" s="125">
        <v>25.393</v>
      </c>
      <c r="K78" s="125">
        <v>12.545</v>
      </c>
      <c r="L78" s="125">
        <v>212.886</v>
      </c>
      <c r="M78" s="125">
        <v>162.524</v>
      </c>
      <c r="N78" s="125">
        <v>202.916</v>
      </c>
      <c r="O78" s="125">
        <v>179.845</v>
      </c>
      <c r="P78" s="117">
        <v>217.772</v>
      </c>
      <c r="Q78" s="117">
        <v>196.551</v>
      </c>
      <c r="R78" s="117">
        <v>218.743</v>
      </c>
      <c r="S78" s="117">
        <v>192.696</v>
      </c>
      <c r="T78" s="24">
        <v>7.903</v>
      </c>
      <c r="U78" s="24">
        <v>48.288</v>
      </c>
      <c r="V78" s="24">
        <v>25.193</v>
      </c>
    </row>
    <row r="79">
      <c r="A79" s="116" t="s">
        <v>120</v>
      </c>
      <c r="C79" s="66">
        <v>29.0</v>
      </c>
      <c r="D79" s="117">
        <v>47.464</v>
      </c>
      <c r="E79" s="117">
        <v>25.696</v>
      </c>
      <c r="F79" s="117">
        <v>4.96</v>
      </c>
      <c r="G79" s="117">
        <v>2.629</v>
      </c>
      <c r="H79" s="117">
        <v>6.728</v>
      </c>
      <c r="I79" s="117">
        <v>3.279</v>
      </c>
      <c r="J79" s="125">
        <v>25.983</v>
      </c>
      <c r="K79" s="125">
        <v>13.541</v>
      </c>
      <c r="L79" s="125">
        <v>103.451</v>
      </c>
      <c r="M79" s="125">
        <v>177.751</v>
      </c>
      <c r="N79" s="125">
        <v>211.422</v>
      </c>
      <c r="O79" s="125">
        <v>161.741</v>
      </c>
      <c r="P79" s="117">
        <v>223.409</v>
      </c>
      <c r="Q79" s="117">
        <v>179.634</v>
      </c>
      <c r="R79" s="117">
        <v>257.263</v>
      </c>
      <c r="S79" s="117">
        <v>193.465</v>
      </c>
      <c r="T79" s="24">
        <v>8.016</v>
      </c>
      <c r="U79" s="27">
        <v>49.127</v>
      </c>
      <c r="V79" s="24">
        <v>18.443</v>
      </c>
    </row>
    <row r="80">
      <c r="A80" s="116" t="s">
        <v>121</v>
      </c>
      <c r="C80" s="66">
        <v>30.0</v>
      </c>
      <c r="D80" s="117">
        <v>53.671</v>
      </c>
      <c r="E80" s="117">
        <v>26.121</v>
      </c>
      <c r="F80" s="117">
        <v>5.003</v>
      </c>
      <c r="G80" s="117">
        <v>2.639</v>
      </c>
      <c r="H80" s="117">
        <v>6.793</v>
      </c>
      <c r="I80" s="117">
        <v>3.244</v>
      </c>
      <c r="J80" s="125">
        <v>24.672</v>
      </c>
      <c r="K80" s="125">
        <v>13.504</v>
      </c>
      <c r="L80" s="125">
        <v>217.349</v>
      </c>
      <c r="M80" s="125">
        <v>169.25</v>
      </c>
      <c r="N80" s="125">
        <v>222.343</v>
      </c>
      <c r="O80" s="125">
        <v>172.365</v>
      </c>
      <c r="P80" s="117">
        <v>222.641</v>
      </c>
      <c r="Q80" s="117">
        <v>201.729</v>
      </c>
      <c r="R80" s="117">
        <v>219.283</v>
      </c>
      <c r="S80" s="117">
        <v>193.875</v>
      </c>
      <c r="T80" s="24">
        <v>8.084</v>
      </c>
      <c r="U80" s="24">
        <v>45.356</v>
      </c>
      <c r="V80" s="24">
        <v>24.49</v>
      </c>
    </row>
    <row r="81">
      <c r="A81" s="116" t="s">
        <v>122</v>
      </c>
      <c r="C81" s="66">
        <v>31.0</v>
      </c>
      <c r="D81" s="117">
        <v>51.41</v>
      </c>
      <c r="E81" s="117">
        <v>27.714</v>
      </c>
      <c r="F81" s="117">
        <v>5.592</v>
      </c>
      <c r="G81" s="117">
        <v>2.745</v>
      </c>
      <c r="H81" s="117">
        <v>7.865</v>
      </c>
      <c r="I81" s="117">
        <v>3.918</v>
      </c>
      <c r="J81" s="125">
        <v>25.683</v>
      </c>
      <c r="K81" s="125">
        <v>11.803</v>
      </c>
      <c r="L81" s="125">
        <v>215.15</v>
      </c>
      <c r="M81" s="125">
        <v>163.258</v>
      </c>
      <c r="N81" s="125">
        <v>221.259</v>
      </c>
      <c r="O81" s="125">
        <v>170.497</v>
      </c>
      <c r="P81" s="117">
        <v>219.453</v>
      </c>
      <c r="Q81" s="117">
        <v>195.211</v>
      </c>
      <c r="R81" s="117">
        <v>218.966</v>
      </c>
      <c r="S81" s="117">
        <v>192.891</v>
      </c>
      <c r="T81" s="24">
        <v>7.947</v>
      </c>
      <c r="U81" s="24">
        <v>53.65</v>
      </c>
      <c r="V81" s="24">
        <v>25.11</v>
      </c>
    </row>
    <row r="82">
      <c r="A82" s="116" t="s">
        <v>123</v>
      </c>
      <c r="C82" s="66">
        <v>32.0</v>
      </c>
      <c r="D82" s="117">
        <v>54.208</v>
      </c>
      <c r="E82" s="117">
        <v>26.922</v>
      </c>
      <c r="F82" s="117">
        <v>4.795</v>
      </c>
      <c r="G82" s="117">
        <v>2.575</v>
      </c>
      <c r="H82" s="117">
        <v>7.493</v>
      </c>
      <c r="I82" s="117">
        <v>3.359</v>
      </c>
      <c r="J82" s="125">
        <v>26.093</v>
      </c>
      <c r="K82" s="125">
        <v>12.551</v>
      </c>
      <c r="L82" s="125">
        <v>222.615</v>
      </c>
      <c r="M82" s="125">
        <v>174.495</v>
      </c>
      <c r="N82" s="125">
        <v>220.379</v>
      </c>
      <c r="O82" s="125">
        <v>173.115</v>
      </c>
      <c r="P82" s="117">
        <v>219.062</v>
      </c>
      <c r="Q82" s="117">
        <v>198.355</v>
      </c>
      <c r="R82" s="117">
        <v>221.055</v>
      </c>
      <c r="S82" s="117">
        <v>193.292</v>
      </c>
      <c r="T82" s="24">
        <v>7.849</v>
      </c>
      <c r="U82" s="24">
        <v>50.035</v>
      </c>
      <c r="V82" s="24">
        <v>26.275</v>
      </c>
    </row>
    <row r="83">
      <c r="A83" s="116" t="s">
        <v>124</v>
      </c>
      <c r="C83" s="66">
        <v>33.0</v>
      </c>
      <c r="D83" s="117">
        <v>47.873</v>
      </c>
      <c r="E83" s="117">
        <v>25.849</v>
      </c>
      <c r="F83" s="117">
        <v>5.417</v>
      </c>
      <c r="G83" s="117">
        <v>2.688</v>
      </c>
      <c r="H83" s="117">
        <v>6.837</v>
      </c>
      <c r="I83" s="117">
        <v>3.182</v>
      </c>
      <c r="J83" s="125">
        <v>26.007</v>
      </c>
      <c r="K83" s="125">
        <v>11.822</v>
      </c>
      <c r="L83" s="125">
        <v>222.592</v>
      </c>
      <c r="M83" s="125">
        <v>174.163</v>
      </c>
      <c r="N83" s="125">
        <v>203.141</v>
      </c>
      <c r="O83" s="125">
        <v>158.84</v>
      </c>
      <c r="P83" s="117">
        <v>197.41</v>
      </c>
      <c r="Q83" s="117">
        <v>176.469</v>
      </c>
      <c r="R83" s="117">
        <v>217.115</v>
      </c>
      <c r="S83" s="117">
        <v>194.438</v>
      </c>
      <c r="T83" s="24">
        <v>7.916</v>
      </c>
      <c r="U83" s="24">
        <v>46.286</v>
      </c>
      <c r="V83" s="24">
        <v>25.25</v>
      </c>
    </row>
    <row r="84">
      <c r="A84" s="116" t="s">
        <v>125</v>
      </c>
      <c r="C84" s="66">
        <v>34.0</v>
      </c>
      <c r="D84" s="117">
        <v>48.852</v>
      </c>
      <c r="E84" s="117">
        <v>26.407</v>
      </c>
      <c r="F84" s="117">
        <v>5.149</v>
      </c>
      <c r="G84" s="117">
        <v>2.619</v>
      </c>
      <c r="H84" s="117">
        <v>7.268</v>
      </c>
      <c r="I84" s="117">
        <v>3.241</v>
      </c>
      <c r="J84" s="125">
        <v>25.92</v>
      </c>
      <c r="K84" s="125">
        <v>11.806</v>
      </c>
      <c r="L84" s="125">
        <v>221.523</v>
      </c>
      <c r="M84" s="125">
        <v>168.474</v>
      </c>
      <c r="N84" s="125">
        <v>221.937</v>
      </c>
      <c r="O84" s="125">
        <v>170.755</v>
      </c>
      <c r="P84" s="117">
        <v>244.984</v>
      </c>
      <c r="Q84" s="117">
        <v>187.715</v>
      </c>
      <c r="R84" s="117">
        <v>218.287</v>
      </c>
      <c r="S84" s="117">
        <v>191.441</v>
      </c>
      <c r="T84" s="24">
        <v>7.923</v>
      </c>
      <c r="U84" s="24">
        <v>46.659</v>
      </c>
      <c r="V84" s="24">
        <v>24.802</v>
      </c>
    </row>
    <row r="85">
      <c r="A85" s="116" t="s">
        <v>126</v>
      </c>
      <c r="C85" s="66">
        <v>35.0</v>
      </c>
      <c r="D85" s="117">
        <v>47.297</v>
      </c>
      <c r="E85" s="117">
        <v>25.729</v>
      </c>
      <c r="F85" s="117">
        <v>4.934</v>
      </c>
      <c r="G85" s="117">
        <v>2.667</v>
      </c>
      <c r="H85" s="117">
        <v>6.8</v>
      </c>
      <c r="I85" s="117">
        <v>3.35</v>
      </c>
      <c r="J85" s="125">
        <v>26.033</v>
      </c>
      <c r="K85" s="125">
        <v>11.808</v>
      </c>
      <c r="L85" s="125">
        <v>222.695</v>
      </c>
      <c r="M85" s="125">
        <v>170.663</v>
      </c>
      <c r="N85" s="125">
        <v>218.544</v>
      </c>
      <c r="O85" s="125">
        <v>170.529</v>
      </c>
      <c r="P85" s="117">
        <v>216.372</v>
      </c>
      <c r="Q85" s="117">
        <v>198.267</v>
      </c>
      <c r="R85" s="117">
        <v>219.223</v>
      </c>
      <c r="S85" s="117">
        <v>192.692</v>
      </c>
      <c r="T85" s="24">
        <v>7.943</v>
      </c>
      <c r="U85" s="24">
        <v>45.359</v>
      </c>
      <c r="V85" s="24">
        <v>24.402</v>
      </c>
    </row>
    <row r="86">
      <c r="A86" s="116" t="s">
        <v>127</v>
      </c>
      <c r="C86" s="66">
        <v>36.0</v>
      </c>
      <c r="D86" s="117">
        <v>48.339</v>
      </c>
      <c r="E86" s="117">
        <v>26.109</v>
      </c>
      <c r="F86" s="117">
        <v>5.122</v>
      </c>
      <c r="G86" s="117">
        <v>2.547</v>
      </c>
      <c r="H86" s="117">
        <v>6.614</v>
      </c>
      <c r="I86" s="117">
        <v>3.164</v>
      </c>
      <c r="J86" s="125">
        <v>25.665</v>
      </c>
      <c r="K86" s="125">
        <v>11.807</v>
      </c>
      <c r="L86" s="125">
        <v>212.352</v>
      </c>
      <c r="M86" s="125">
        <v>162.586</v>
      </c>
      <c r="N86" s="125">
        <v>219.797</v>
      </c>
      <c r="O86" s="125">
        <v>171.84</v>
      </c>
      <c r="P86" s="117">
        <v>218.64</v>
      </c>
      <c r="Q86" s="117">
        <v>196.332</v>
      </c>
      <c r="R86" s="117">
        <v>225.208</v>
      </c>
      <c r="S86" s="117">
        <v>193.541</v>
      </c>
      <c r="T86" s="24">
        <v>7.221</v>
      </c>
      <c r="U86" s="24">
        <v>47.498</v>
      </c>
      <c r="V86" s="24">
        <v>24.229</v>
      </c>
    </row>
    <row r="87">
      <c r="A87" s="116" t="s">
        <v>128</v>
      </c>
      <c r="C87" s="66">
        <v>37.0</v>
      </c>
      <c r="D87" s="117">
        <v>47.49</v>
      </c>
      <c r="E87" s="117">
        <v>25.418</v>
      </c>
      <c r="F87" s="117">
        <v>4.917</v>
      </c>
      <c r="G87" s="117">
        <v>2.619</v>
      </c>
      <c r="H87" s="117">
        <v>6.606</v>
      </c>
      <c r="I87" s="117">
        <v>3.194</v>
      </c>
      <c r="J87" s="125">
        <v>24.942</v>
      </c>
      <c r="K87" s="125">
        <v>12.226</v>
      </c>
      <c r="L87" s="125">
        <v>222.374</v>
      </c>
      <c r="M87" s="125">
        <v>171.546</v>
      </c>
      <c r="N87" s="125">
        <v>220.207</v>
      </c>
      <c r="O87" s="125">
        <v>171.234</v>
      </c>
      <c r="P87" s="117">
        <v>221.896</v>
      </c>
      <c r="Q87" s="117">
        <v>204.248</v>
      </c>
      <c r="R87" s="117">
        <v>218.447</v>
      </c>
      <c r="S87" s="117">
        <v>194.108</v>
      </c>
      <c r="T87" s="24">
        <v>8.133</v>
      </c>
      <c r="U87" s="24">
        <v>46.703</v>
      </c>
      <c r="V87" s="24">
        <v>23.914</v>
      </c>
    </row>
    <row r="88">
      <c r="A88" s="116" t="s">
        <v>129</v>
      </c>
      <c r="C88" s="66">
        <v>38.0</v>
      </c>
      <c r="D88" s="117">
        <v>52.987</v>
      </c>
      <c r="E88" s="117">
        <v>26.919</v>
      </c>
      <c r="F88" s="117">
        <v>5.255</v>
      </c>
      <c r="G88" s="117">
        <v>2.524</v>
      </c>
      <c r="H88" s="117">
        <v>6.708</v>
      </c>
      <c r="I88" s="117">
        <v>3.277</v>
      </c>
      <c r="J88" s="125">
        <v>25.788</v>
      </c>
      <c r="K88" s="125">
        <v>11.798</v>
      </c>
      <c r="L88" s="125">
        <v>213.105</v>
      </c>
      <c r="M88" s="125">
        <v>163.019</v>
      </c>
      <c r="N88" s="125">
        <v>222.071</v>
      </c>
      <c r="O88" s="125">
        <v>173.22</v>
      </c>
      <c r="P88" s="117">
        <v>218.296</v>
      </c>
      <c r="Q88" s="117">
        <v>198.503</v>
      </c>
      <c r="R88" s="117">
        <v>216.836</v>
      </c>
      <c r="S88" s="117">
        <v>193.171</v>
      </c>
      <c r="T88" s="24">
        <v>7.931</v>
      </c>
      <c r="U88" s="24">
        <v>47.136</v>
      </c>
      <c r="V88" s="24">
        <v>24.835</v>
      </c>
    </row>
    <row r="89">
      <c r="A89" s="116" t="s">
        <v>130</v>
      </c>
      <c r="C89" s="66">
        <v>39.0</v>
      </c>
      <c r="D89" s="117">
        <v>48.748</v>
      </c>
      <c r="E89" s="117">
        <v>26.823</v>
      </c>
      <c r="F89" s="117">
        <v>5.528</v>
      </c>
      <c r="G89" s="117">
        <v>2.651</v>
      </c>
      <c r="H89" s="117">
        <v>6.749</v>
      </c>
      <c r="I89" s="117">
        <v>3.246</v>
      </c>
      <c r="J89" s="125">
        <v>25.275</v>
      </c>
      <c r="K89" s="125">
        <v>13.531</v>
      </c>
      <c r="L89" s="125">
        <v>224.894</v>
      </c>
      <c r="M89" s="125">
        <v>173.94</v>
      </c>
      <c r="N89" s="125">
        <v>222.341</v>
      </c>
      <c r="O89" s="125">
        <v>169.321</v>
      </c>
      <c r="P89" s="117">
        <v>218.774</v>
      </c>
      <c r="Q89" s="117">
        <v>196.648</v>
      </c>
      <c r="R89" s="117">
        <v>219.046</v>
      </c>
      <c r="S89" s="117">
        <v>193.192</v>
      </c>
      <c r="T89" s="24">
        <v>7.955</v>
      </c>
      <c r="U89" s="24">
        <v>46.365</v>
      </c>
      <c r="V89" s="24">
        <v>24.553</v>
      </c>
    </row>
    <row r="90">
      <c r="A90" s="116" t="s">
        <v>131</v>
      </c>
      <c r="C90" s="66">
        <v>40.0</v>
      </c>
      <c r="D90" s="117">
        <v>46.563</v>
      </c>
      <c r="E90" s="117">
        <v>25.946</v>
      </c>
      <c r="F90" s="117">
        <v>4.972</v>
      </c>
      <c r="G90" s="117">
        <v>2.597</v>
      </c>
      <c r="H90" s="117">
        <v>7.342</v>
      </c>
      <c r="I90" s="117">
        <v>3.357</v>
      </c>
      <c r="J90" s="125">
        <v>26.149</v>
      </c>
      <c r="K90" s="125">
        <v>11.804</v>
      </c>
      <c r="L90" s="125">
        <v>216.649</v>
      </c>
      <c r="M90" s="125">
        <v>164.261</v>
      </c>
      <c r="N90" s="125">
        <v>202.458</v>
      </c>
      <c r="O90" s="125">
        <v>160.421</v>
      </c>
      <c r="P90" s="117">
        <v>195.605</v>
      </c>
      <c r="Q90" s="117">
        <v>175.021</v>
      </c>
      <c r="R90" s="117">
        <v>219.472</v>
      </c>
      <c r="S90" s="117">
        <v>192.617</v>
      </c>
      <c r="T90" s="24">
        <v>8.669</v>
      </c>
      <c r="U90" s="24">
        <v>46.782</v>
      </c>
      <c r="V90" s="24">
        <v>25.152</v>
      </c>
    </row>
    <row r="91">
      <c r="A91" s="116" t="s">
        <v>132</v>
      </c>
      <c r="C91" s="66">
        <v>41.0</v>
      </c>
      <c r="D91" s="117">
        <v>49.107</v>
      </c>
      <c r="E91" s="117">
        <v>26.185</v>
      </c>
      <c r="F91" s="117">
        <v>5.092</v>
      </c>
      <c r="G91" s="117">
        <v>2.636</v>
      </c>
      <c r="H91" s="117">
        <v>6.631</v>
      </c>
      <c r="I91" s="117">
        <v>3.339</v>
      </c>
      <c r="J91" s="125">
        <v>25.656</v>
      </c>
      <c r="K91" s="125">
        <v>11.52</v>
      </c>
      <c r="L91" s="125">
        <v>217.003</v>
      </c>
      <c r="M91" s="125">
        <v>165.616</v>
      </c>
      <c r="N91" s="125">
        <v>221.576</v>
      </c>
      <c r="O91" s="125">
        <v>173.419</v>
      </c>
      <c r="P91" s="117">
        <v>218.915</v>
      </c>
      <c r="Q91" s="117">
        <v>198.423</v>
      </c>
      <c r="R91" s="117">
        <v>223.409</v>
      </c>
      <c r="S91" s="117">
        <v>189.128</v>
      </c>
      <c r="T91" s="24">
        <v>7.901</v>
      </c>
      <c r="U91" s="24">
        <v>52.137</v>
      </c>
      <c r="V91" s="24">
        <v>25.73</v>
      </c>
    </row>
    <row r="92">
      <c r="A92" s="116" t="s">
        <v>133</v>
      </c>
      <c r="C92" s="66">
        <v>42.0</v>
      </c>
      <c r="D92" s="117">
        <v>52.241</v>
      </c>
      <c r="E92" s="117">
        <v>27.123</v>
      </c>
      <c r="F92" s="117">
        <v>5.178</v>
      </c>
      <c r="G92" s="117">
        <v>2.537</v>
      </c>
      <c r="H92" s="117">
        <v>6.727</v>
      </c>
      <c r="I92" s="117">
        <v>3.142</v>
      </c>
      <c r="J92" s="125">
        <v>25.7</v>
      </c>
      <c r="K92" s="125">
        <v>11.802</v>
      </c>
      <c r="L92" s="125">
        <v>222.403</v>
      </c>
      <c r="M92" s="125">
        <v>173.585</v>
      </c>
      <c r="N92" s="125">
        <v>224.133</v>
      </c>
      <c r="O92" s="125">
        <v>170.326</v>
      </c>
      <c r="P92" s="117">
        <v>224.998</v>
      </c>
      <c r="Q92" s="117">
        <v>196.633</v>
      </c>
      <c r="R92" s="117">
        <v>216.987</v>
      </c>
      <c r="S92" s="117">
        <v>193.25</v>
      </c>
      <c r="T92" s="24">
        <v>8.005</v>
      </c>
      <c r="U92" s="24">
        <v>48.68</v>
      </c>
      <c r="V92" s="24">
        <v>24.534</v>
      </c>
    </row>
    <row r="93">
      <c r="A93" s="116" t="s">
        <v>134</v>
      </c>
      <c r="C93" s="66">
        <v>43.0</v>
      </c>
      <c r="D93" s="117">
        <v>49.525</v>
      </c>
      <c r="E93" s="117">
        <v>26.258</v>
      </c>
      <c r="F93" s="117">
        <v>5.307</v>
      </c>
      <c r="G93" s="117">
        <v>2.738</v>
      </c>
      <c r="H93" s="117">
        <v>6.862</v>
      </c>
      <c r="I93" s="117">
        <v>3.233</v>
      </c>
      <c r="J93" s="125">
        <v>26.462</v>
      </c>
      <c r="K93" s="125">
        <v>12.55</v>
      </c>
      <c r="L93" s="125">
        <v>221.189</v>
      </c>
      <c r="M93" s="125">
        <v>161.276</v>
      </c>
      <c r="N93" s="125">
        <v>219.262</v>
      </c>
      <c r="O93" s="125">
        <v>172.696</v>
      </c>
      <c r="P93" s="117">
        <v>219.666</v>
      </c>
      <c r="Q93" s="117">
        <v>195.244</v>
      </c>
      <c r="R93" s="117">
        <v>221.288</v>
      </c>
      <c r="S93" s="117">
        <v>193.132</v>
      </c>
      <c r="T93" s="24">
        <v>7.964</v>
      </c>
      <c r="U93" s="24">
        <v>49.564</v>
      </c>
      <c r="V93" s="24">
        <v>24.783</v>
      </c>
    </row>
    <row r="94">
      <c r="A94" s="116" t="s">
        <v>135</v>
      </c>
      <c r="C94" s="66">
        <v>44.0</v>
      </c>
      <c r="D94" s="117">
        <v>51.806</v>
      </c>
      <c r="E94" s="117">
        <v>26.094</v>
      </c>
      <c r="F94" s="117">
        <v>5.377</v>
      </c>
      <c r="G94" s="117">
        <v>2.64</v>
      </c>
      <c r="H94" s="117">
        <v>7.146</v>
      </c>
      <c r="I94" s="117">
        <v>3.269</v>
      </c>
      <c r="J94" s="125">
        <v>26.257</v>
      </c>
      <c r="K94" s="125">
        <v>13.571</v>
      </c>
      <c r="L94" s="125">
        <v>222.462</v>
      </c>
      <c r="M94" s="125">
        <v>166.314</v>
      </c>
      <c r="N94" s="125">
        <v>208.432</v>
      </c>
      <c r="O94" s="125">
        <v>159.649</v>
      </c>
      <c r="P94" s="117">
        <v>197.61</v>
      </c>
      <c r="Q94" s="117">
        <v>173.747</v>
      </c>
      <c r="R94" s="117">
        <v>220.769</v>
      </c>
      <c r="S94" s="117">
        <v>192.876</v>
      </c>
      <c r="T94" s="24">
        <v>8.004</v>
      </c>
      <c r="U94" s="24">
        <v>53.074</v>
      </c>
      <c r="V94" s="24">
        <v>25.185</v>
      </c>
    </row>
    <row r="95">
      <c r="A95" s="116" t="s">
        <v>136</v>
      </c>
      <c r="C95" s="66">
        <v>45.0</v>
      </c>
      <c r="D95" s="117">
        <v>55.232</v>
      </c>
      <c r="E95" s="117">
        <v>26.945</v>
      </c>
      <c r="F95" s="117">
        <v>5.616</v>
      </c>
      <c r="G95" s="117">
        <v>2.665</v>
      </c>
      <c r="H95" s="117">
        <v>6.93</v>
      </c>
      <c r="I95" s="117">
        <v>3.213</v>
      </c>
      <c r="J95" s="125">
        <v>25.927</v>
      </c>
      <c r="K95" s="125">
        <v>13.212</v>
      </c>
      <c r="L95" s="125">
        <v>219.372</v>
      </c>
      <c r="M95" s="125">
        <v>168.923</v>
      </c>
      <c r="N95" s="125">
        <v>221.673</v>
      </c>
      <c r="O95" s="125">
        <v>172.54</v>
      </c>
      <c r="P95" s="117">
        <v>219.384</v>
      </c>
      <c r="Q95" s="117">
        <v>197.737</v>
      </c>
      <c r="R95" s="117">
        <v>219.266</v>
      </c>
      <c r="S95" s="117">
        <v>193.49</v>
      </c>
      <c r="T95" s="24">
        <v>8.125</v>
      </c>
      <c r="U95" s="24">
        <v>48.815</v>
      </c>
      <c r="V95" s="24">
        <v>24.223</v>
      </c>
    </row>
    <row r="96">
      <c r="A96" s="116" t="s">
        <v>137</v>
      </c>
      <c r="C96" s="66">
        <v>46.0</v>
      </c>
      <c r="D96" s="117">
        <v>50.931</v>
      </c>
      <c r="E96" s="117">
        <v>27.339</v>
      </c>
      <c r="F96" s="117">
        <v>5.738</v>
      </c>
      <c r="G96" s="117">
        <v>2.706</v>
      </c>
      <c r="H96" s="117">
        <v>7.137</v>
      </c>
      <c r="I96" s="117">
        <v>3.298</v>
      </c>
      <c r="J96" s="125">
        <v>26.543</v>
      </c>
      <c r="K96" s="125">
        <v>11.7</v>
      </c>
      <c r="L96" s="125">
        <v>223.583</v>
      </c>
      <c r="M96" s="125">
        <v>174.221</v>
      </c>
      <c r="N96" s="125">
        <v>217.571</v>
      </c>
      <c r="O96" s="125">
        <v>170.11</v>
      </c>
      <c r="P96" s="117">
        <v>218.937</v>
      </c>
      <c r="Q96" s="117">
        <v>196.047</v>
      </c>
      <c r="R96" s="117">
        <v>281.711</v>
      </c>
      <c r="S96" s="117">
        <v>194.179</v>
      </c>
      <c r="T96" s="24">
        <v>8.076</v>
      </c>
      <c r="U96" s="24">
        <v>45.809</v>
      </c>
      <c r="V96" s="24">
        <v>25.164</v>
      </c>
    </row>
    <row r="97">
      <c r="A97" s="116" t="s">
        <v>138</v>
      </c>
      <c r="C97" s="66">
        <v>47.0</v>
      </c>
      <c r="D97" s="117">
        <v>47.483</v>
      </c>
      <c r="E97" s="117">
        <v>26.232</v>
      </c>
      <c r="F97" s="117">
        <v>5.177</v>
      </c>
      <c r="G97" s="117">
        <v>2.878</v>
      </c>
      <c r="H97" s="117">
        <v>7.479</v>
      </c>
      <c r="I97" s="117">
        <v>3.279</v>
      </c>
      <c r="J97" s="125">
        <v>25.564</v>
      </c>
      <c r="K97" s="125">
        <v>13.574</v>
      </c>
      <c r="L97" s="125">
        <v>211.44</v>
      </c>
      <c r="M97" s="125">
        <v>161.376</v>
      </c>
      <c r="N97" s="125">
        <v>214.036</v>
      </c>
      <c r="O97" s="125">
        <v>167.155</v>
      </c>
      <c r="P97" s="117">
        <v>222.921</v>
      </c>
      <c r="Q97" s="117">
        <v>181.314</v>
      </c>
      <c r="R97" s="117">
        <v>223.533</v>
      </c>
      <c r="S97" s="117">
        <v>193.595</v>
      </c>
      <c r="T97" s="24">
        <v>8.0</v>
      </c>
      <c r="U97" s="24">
        <v>51.833</v>
      </c>
      <c r="V97" s="24">
        <v>25.18</v>
      </c>
    </row>
    <row r="98">
      <c r="A98" s="116" t="s">
        <v>139</v>
      </c>
      <c r="C98" s="66">
        <v>48.0</v>
      </c>
      <c r="D98" s="117">
        <v>52.495</v>
      </c>
      <c r="E98" s="117">
        <v>26.895</v>
      </c>
      <c r="F98" s="117">
        <v>5.339</v>
      </c>
      <c r="G98" s="117">
        <v>2.652</v>
      </c>
      <c r="H98" s="117">
        <v>7.105</v>
      </c>
      <c r="I98" s="117">
        <v>4.56</v>
      </c>
      <c r="J98" s="125">
        <v>25.967</v>
      </c>
      <c r="K98" s="125">
        <v>18.378</v>
      </c>
      <c r="L98" s="125">
        <v>215.177</v>
      </c>
      <c r="M98" s="125">
        <v>159.175</v>
      </c>
      <c r="N98" s="125">
        <v>221.929</v>
      </c>
      <c r="O98" s="125">
        <v>170.228</v>
      </c>
      <c r="P98" s="117">
        <v>220.947</v>
      </c>
      <c r="Q98" s="117">
        <v>199.338</v>
      </c>
      <c r="R98" s="117">
        <v>221.567</v>
      </c>
      <c r="S98" s="117">
        <v>195.039</v>
      </c>
      <c r="T98" s="24">
        <v>8.003</v>
      </c>
      <c r="U98" s="24">
        <v>49.642</v>
      </c>
      <c r="V98" s="24">
        <v>24.783</v>
      </c>
    </row>
    <row r="99">
      <c r="A99" s="116" t="s">
        <v>140</v>
      </c>
      <c r="C99" s="66">
        <v>49.0</v>
      </c>
      <c r="D99" s="117">
        <v>51.284</v>
      </c>
      <c r="E99" s="117">
        <v>25.827</v>
      </c>
      <c r="F99" s="117">
        <v>5.65</v>
      </c>
      <c r="G99" s="117">
        <v>2.72</v>
      </c>
      <c r="H99" s="117">
        <v>6.798</v>
      </c>
      <c r="I99" s="117">
        <v>3.28</v>
      </c>
      <c r="J99" s="125">
        <v>26.03</v>
      </c>
      <c r="K99" s="125">
        <v>11.806</v>
      </c>
      <c r="L99" s="125">
        <v>223.721</v>
      </c>
      <c r="M99" s="125">
        <v>173.558</v>
      </c>
      <c r="N99" s="125">
        <v>221.732</v>
      </c>
      <c r="O99" s="125">
        <v>171.671</v>
      </c>
      <c r="P99" s="117">
        <v>221.169</v>
      </c>
      <c r="Q99" s="117">
        <v>198.521</v>
      </c>
      <c r="R99" s="117">
        <v>220.384</v>
      </c>
      <c r="S99" s="117">
        <v>192.571</v>
      </c>
      <c r="T99" s="24">
        <v>7.974</v>
      </c>
      <c r="U99" s="24">
        <v>51.709</v>
      </c>
      <c r="V99" s="24">
        <v>25.161</v>
      </c>
    </row>
    <row r="100">
      <c r="A100" s="116" t="s">
        <v>141</v>
      </c>
      <c r="C100" s="66">
        <v>50.0</v>
      </c>
      <c r="D100" s="117">
        <v>52.727</v>
      </c>
      <c r="E100" s="117">
        <v>26.488</v>
      </c>
      <c r="F100" s="117">
        <v>5.344</v>
      </c>
      <c r="G100" s="117">
        <v>2.653</v>
      </c>
      <c r="H100" s="117">
        <v>7.237</v>
      </c>
      <c r="I100" s="117">
        <v>3.34</v>
      </c>
      <c r="J100" s="125">
        <v>25.851</v>
      </c>
      <c r="K100" s="125">
        <v>12.54</v>
      </c>
      <c r="L100" s="125">
        <v>213.854</v>
      </c>
      <c r="M100" s="125">
        <v>162.837</v>
      </c>
      <c r="N100" s="125">
        <v>221.779</v>
      </c>
      <c r="O100" s="125">
        <v>172.428</v>
      </c>
      <c r="P100" s="117">
        <v>217.919</v>
      </c>
      <c r="Q100" s="117">
        <v>200.724</v>
      </c>
      <c r="R100" s="117">
        <v>219.467</v>
      </c>
      <c r="S100" s="117">
        <v>168.794</v>
      </c>
      <c r="T100" s="24">
        <v>8.034</v>
      </c>
      <c r="U100" s="24">
        <v>47.957</v>
      </c>
      <c r="V100" s="24">
        <v>24.379</v>
      </c>
    </row>
    <row r="101">
      <c r="A101" s="116" t="s">
        <v>142</v>
      </c>
      <c r="C101" s="66">
        <v>51.0</v>
      </c>
      <c r="D101" s="117">
        <v>48.745</v>
      </c>
      <c r="E101" s="117">
        <v>26.05</v>
      </c>
      <c r="F101" s="117">
        <v>5.442</v>
      </c>
      <c r="G101" s="117">
        <v>2.591</v>
      </c>
      <c r="H101" s="117">
        <v>7.034</v>
      </c>
      <c r="I101" s="117">
        <v>3.242</v>
      </c>
      <c r="J101" s="125">
        <v>25.827</v>
      </c>
      <c r="K101" s="125">
        <v>12.526</v>
      </c>
      <c r="L101" s="125">
        <v>218.245</v>
      </c>
      <c r="M101" s="125">
        <v>168.005</v>
      </c>
      <c r="N101" s="125">
        <v>219.989</v>
      </c>
      <c r="O101" s="125">
        <v>171.741</v>
      </c>
      <c r="P101" s="117">
        <v>219.617</v>
      </c>
      <c r="Q101" s="117">
        <v>197.853</v>
      </c>
      <c r="R101" s="117">
        <v>224.064</v>
      </c>
      <c r="S101" s="117">
        <v>195.435</v>
      </c>
      <c r="T101" s="24">
        <v>7.95</v>
      </c>
      <c r="U101" s="24">
        <v>49.223</v>
      </c>
      <c r="V101" s="24">
        <v>24.391</v>
      </c>
    </row>
    <row r="102">
      <c r="A102" s="116" t="s">
        <v>143</v>
      </c>
      <c r="C102" s="66">
        <v>52.0</v>
      </c>
      <c r="D102" s="117">
        <v>51.13</v>
      </c>
      <c r="E102" s="117">
        <v>26.9</v>
      </c>
      <c r="F102" s="117">
        <v>5.141</v>
      </c>
      <c r="G102" s="117">
        <v>2.663</v>
      </c>
      <c r="H102" s="117">
        <v>7.0</v>
      </c>
      <c r="I102" s="117">
        <v>3.28</v>
      </c>
      <c r="J102" s="125">
        <v>25.926</v>
      </c>
      <c r="K102" s="125">
        <v>11.802</v>
      </c>
      <c r="L102" s="125">
        <v>211.241</v>
      </c>
      <c r="M102" s="125">
        <v>163.125</v>
      </c>
      <c r="N102" s="125">
        <v>205.713</v>
      </c>
      <c r="O102" s="125">
        <v>160.649</v>
      </c>
      <c r="P102" s="117">
        <v>197.296</v>
      </c>
      <c r="Q102" s="117">
        <v>176.041</v>
      </c>
      <c r="R102" s="117">
        <v>223.101</v>
      </c>
      <c r="S102" s="117">
        <v>188.085</v>
      </c>
      <c r="T102" s="24">
        <v>7.962</v>
      </c>
      <c r="U102" s="24">
        <v>46.965</v>
      </c>
      <c r="V102" s="24">
        <v>25.717</v>
      </c>
    </row>
    <row r="103">
      <c r="A103" s="116" t="s">
        <v>144</v>
      </c>
      <c r="C103" s="66">
        <v>53.0</v>
      </c>
      <c r="D103" s="117">
        <v>48.719</v>
      </c>
      <c r="E103" s="117">
        <v>25.726</v>
      </c>
      <c r="F103" s="117">
        <v>5.295</v>
      </c>
      <c r="G103" s="117">
        <v>2.655</v>
      </c>
      <c r="H103" s="117">
        <v>7.03</v>
      </c>
      <c r="I103" s="117">
        <v>3.328</v>
      </c>
      <c r="J103" s="125">
        <v>25.714</v>
      </c>
      <c r="K103" s="125">
        <v>13.534</v>
      </c>
      <c r="L103" s="125">
        <v>217.236</v>
      </c>
      <c r="M103" s="125">
        <v>166.072</v>
      </c>
      <c r="N103" s="125">
        <v>223.088</v>
      </c>
      <c r="O103" s="125">
        <v>171.642</v>
      </c>
      <c r="P103" s="117">
        <v>219.986</v>
      </c>
      <c r="Q103" s="117">
        <v>197.738</v>
      </c>
      <c r="R103" s="117">
        <v>282.41</v>
      </c>
      <c r="S103" s="117">
        <v>194.277</v>
      </c>
      <c r="T103" s="24">
        <v>7.98</v>
      </c>
      <c r="U103" s="24">
        <v>45.725</v>
      </c>
      <c r="V103" s="24">
        <v>24.577</v>
      </c>
    </row>
    <row r="104">
      <c r="A104" s="116" t="s">
        <v>145</v>
      </c>
      <c r="C104" s="66">
        <v>54.0</v>
      </c>
      <c r="D104" s="117">
        <v>48.121</v>
      </c>
      <c r="E104" s="117">
        <v>26.522</v>
      </c>
      <c r="F104" s="117">
        <v>5.086</v>
      </c>
      <c r="G104" s="117">
        <v>2.608</v>
      </c>
      <c r="H104" s="117">
        <v>7.012</v>
      </c>
      <c r="I104" s="117">
        <v>3.232</v>
      </c>
      <c r="J104" s="125">
        <v>25.732</v>
      </c>
      <c r="K104" s="125">
        <v>11.528</v>
      </c>
      <c r="L104" s="125">
        <v>214.035</v>
      </c>
      <c r="M104" s="125">
        <v>161.912</v>
      </c>
      <c r="N104" s="125">
        <v>219.498</v>
      </c>
      <c r="O104" s="125">
        <v>169.165</v>
      </c>
      <c r="P104" s="117">
        <v>217.674</v>
      </c>
      <c r="Q104" s="117">
        <v>198.504</v>
      </c>
      <c r="R104" s="117">
        <v>220.357</v>
      </c>
      <c r="S104" s="117">
        <v>193.418</v>
      </c>
      <c r="T104" s="24">
        <v>8.123</v>
      </c>
      <c r="U104" s="24">
        <v>51.481</v>
      </c>
      <c r="V104" s="24">
        <v>25.043</v>
      </c>
    </row>
    <row r="105">
      <c r="A105" s="116" t="s">
        <v>146</v>
      </c>
      <c r="C105" s="66">
        <v>55.0</v>
      </c>
      <c r="D105" s="117">
        <v>46.964</v>
      </c>
      <c r="E105" s="117">
        <v>26.385</v>
      </c>
      <c r="F105" s="117">
        <v>5.142</v>
      </c>
      <c r="G105" s="117">
        <v>2.602</v>
      </c>
      <c r="H105" s="117">
        <v>6.861</v>
      </c>
      <c r="I105" s="117">
        <v>3.226</v>
      </c>
      <c r="J105" s="125">
        <v>25.541</v>
      </c>
      <c r="K105" s="125">
        <v>12.598</v>
      </c>
      <c r="L105" s="125">
        <v>216.854</v>
      </c>
      <c r="M105" s="125">
        <v>161.606</v>
      </c>
      <c r="N105" s="125">
        <v>208.272</v>
      </c>
      <c r="O105" s="125">
        <v>161.986</v>
      </c>
      <c r="P105" s="117">
        <v>195.505</v>
      </c>
      <c r="Q105" s="117">
        <v>176.93</v>
      </c>
      <c r="R105" s="117">
        <v>221.172</v>
      </c>
      <c r="S105" s="117">
        <v>189.253</v>
      </c>
      <c r="T105" s="24">
        <v>7.949</v>
      </c>
      <c r="U105" s="24">
        <v>49.852</v>
      </c>
      <c r="V105" s="24">
        <v>24.597</v>
      </c>
    </row>
    <row r="106">
      <c r="A106" s="116" t="s">
        <v>147</v>
      </c>
      <c r="C106" s="66">
        <v>56.0</v>
      </c>
      <c r="D106" s="117">
        <v>51.073</v>
      </c>
      <c r="E106" s="117">
        <v>25.717</v>
      </c>
      <c r="F106" s="117">
        <v>5.093</v>
      </c>
      <c r="G106" s="117">
        <v>2.587</v>
      </c>
      <c r="H106" s="117">
        <v>6.788</v>
      </c>
      <c r="I106" s="117">
        <v>3.216</v>
      </c>
      <c r="J106" s="125">
        <v>25.15</v>
      </c>
      <c r="K106" s="125">
        <v>11.517</v>
      </c>
      <c r="L106" s="125">
        <v>215.328</v>
      </c>
      <c r="M106" s="125">
        <v>164.806</v>
      </c>
      <c r="N106" s="125">
        <v>217.097</v>
      </c>
      <c r="O106" s="125">
        <v>172.179</v>
      </c>
      <c r="P106" s="117">
        <v>217.863</v>
      </c>
      <c r="Q106" s="117">
        <v>197.821</v>
      </c>
      <c r="R106" s="117">
        <v>222.937</v>
      </c>
      <c r="S106" s="117">
        <v>194.458</v>
      </c>
      <c r="T106" s="24">
        <v>8.013</v>
      </c>
      <c r="U106" s="24">
        <v>51.767</v>
      </c>
      <c r="V106" s="24">
        <v>25.909</v>
      </c>
    </row>
    <row r="107">
      <c r="A107" s="116" t="s">
        <v>148</v>
      </c>
      <c r="C107" s="66">
        <v>57.0</v>
      </c>
      <c r="D107" s="117">
        <v>51.82</v>
      </c>
      <c r="E107" s="117">
        <v>26.104</v>
      </c>
      <c r="F107" s="117">
        <v>5.354</v>
      </c>
      <c r="G107" s="117">
        <v>2.692</v>
      </c>
      <c r="H107" s="117">
        <v>6.615</v>
      </c>
      <c r="I107" s="117">
        <v>3.143</v>
      </c>
      <c r="J107" s="125">
        <v>25.918</v>
      </c>
      <c r="K107" s="125">
        <v>12.54</v>
      </c>
      <c r="L107" s="125">
        <v>215.523</v>
      </c>
      <c r="M107" s="125">
        <v>163.384</v>
      </c>
      <c r="N107" s="125">
        <v>217.677</v>
      </c>
      <c r="O107" s="125">
        <v>172.765</v>
      </c>
      <c r="P107" s="117">
        <v>216.125</v>
      </c>
      <c r="Q107" s="117">
        <v>195.83</v>
      </c>
      <c r="R107" s="117">
        <v>227.305</v>
      </c>
      <c r="S107" s="117">
        <v>193.534</v>
      </c>
      <c r="T107" s="24">
        <v>7.968</v>
      </c>
      <c r="U107" s="24">
        <v>46.19</v>
      </c>
      <c r="V107" s="24">
        <v>24.108</v>
      </c>
    </row>
    <row r="108">
      <c r="A108" s="116" t="s">
        <v>149</v>
      </c>
      <c r="C108" s="66">
        <v>58.0</v>
      </c>
      <c r="D108" s="117">
        <v>52.983</v>
      </c>
      <c r="E108" s="117">
        <v>26.368</v>
      </c>
      <c r="F108" s="117">
        <v>5.346</v>
      </c>
      <c r="G108" s="117">
        <v>2.571</v>
      </c>
      <c r="H108" s="117">
        <v>6.935</v>
      </c>
      <c r="I108" s="117">
        <v>3.61</v>
      </c>
      <c r="J108" s="125">
        <v>25.353</v>
      </c>
      <c r="K108" s="125">
        <v>14.205</v>
      </c>
      <c r="L108" s="125">
        <v>213.726</v>
      </c>
      <c r="M108" s="125">
        <v>163.865</v>
      </c>
      <c r="N108" s="125">
        <v>203.858</v>
      </c>
      <c r="O108" s="125">
        <v>158.861</v>
      </c>
      <c r="P108" s="117">
        <v>219.53</v>
      </c>
      <c r="Q108" s="117">
        <v>198.419</v>
      </c>
      <c r="R108" s="117">
        <v>220.073</v>
      </c>
      <c r="S108" s="117">
        <v>188.85</v>
      </c>
      <c r="T108" s="24">
        <v>8.018</v>
      </c>
      <c r="U108" s="24">
        <v>47.285</v>
      </c>
      <c r="V108" s="24">
        <v>24.18</v>
      </c>
    </row>
    <row r="109">
      <c r="A109" s="116" t="s">
        <v>150</v>
      </c>
      <c r="C109" s="66">
        <v>59.0</v>
      </c>
      <c r="D109" s="117">
        <v>46.971</v>
      </c>
      <c r="E109" s="117">
        <v>25.748</v>
      </c>
      <c r="F109" s="117">
        <v>5.64</v>
      </c>
      <c r="G109" s="117">
        <v>2.687</v>
      </c>
      <c r="H109" s="117">
        <v>6.999</v>
      </c>
      <c r="I109" s="117">
        <v>3.196</v>
      </c>
      <c r="J109" s="125">
        <v>26.008</v>
      </c>
      <c r="K109" s="125">
        <v>13.548</v>
      </c>
      <c r="L109" s="125">
        <v>220.608</v>
      </c>
      <c r="M109" s="125">
        <v>167.018</v>
      </c>
      <c r="N109" s="125">
        <v>206.466</v>
      </c>
      <c r="O109" s="125">
        <v>161.326</v>
      </c>
      <c r="P109" s="117">
        <v>195.876</v>
      </c>
      <c r="Q109" s="117">
        <v>176.864</v>
      </c>
      <c r="R109" s="117">
        <v>221.941</v>
      </c>
      <c r="S109" s="117">
        <v>192.071</v>
      </c>
      <c r="T109" s="24">
        <v>8.157</v>
      </c>
      <c r="U109" s="24">
        <v>48.47</v>
      </c>
      <c r="V109" s="24">
        <v>24.877</v>
      </c>
    </row>
    <row r="110">
      <c r="A110" s="116" t="s">
        <v>151</v>
      </c>
      <c r="C110" s="66">
        <v>60.0</v>
      </c>
      <c r="D110" s="117">
        <v>47.213</v>
      </c>
      <c r="E110" s="117">
        <v>25.75</v>
      </c>
      <c r="F110" s="117">
        <v>5.052</v>
      </c>
      <c r="G110" s="117">
        <v>2.571</v>
      </c>
      <c r="H110" s="117">
        <v>7.303</v>
      </c>
      <c r="I110" s="117">
        <v>3.205</v>
      </c>
      <c r="J110" s="125">
        <v>25.311</v>
      </c>
      <c r="K110" s="125">
        <v>13.531</v>
      </c>
      <c r="L110" s="125">
        <v>217.325</v>
      </c>
      <c r="M110" s="125">
        <v>166.052</v>
      </c>
      <c r="N110" s="125">
        <v>217.834</v>
      </c>
      <c r="O110" s="125">
        <v>169.509</v>
      </c>
      <c r="P110" s="117">
        <v>225.92</v>
      </c>
      <c r="Q110" s="117">
        <v>179.134</v>
      </c>
      <c r="R110" s="117">
        <v>219.616</v>
      </c>
      <c r="S110" s="117">
        <v>193.986</v>
      </c>
      <c r="T110" s="24">
        <v>7.963</v>
      </c>
      <c r="U110" s="24">
        <v>51.174</v>
      </c>
      <c r="V110" s="24">
        <v>24.893</v>
      </c>
    </row>
    <row r="111">
      <c r="A111" s="116" t="s">
        <v>152</v>
      </c>
      <c r="C111" s="66">
        <v>61.0</v>
      </c>
      <c r="D111" s="117">
        <v>51.025</v>
      </c>
      <c r="E111" s="117">
        <v>26.39</v>
      </c>
      <c r="F111" s="117">
        <v>5.172</v>
      </c>
      <c r="G111" s="117">
        <v>2.58</v>
      </c>
      <c r="H111" s="117">
        <v>6.72</v>
      </c>
      <c r="I111" s="117">
        <v>3.215</v>
      </c>
      <c r="J111" s="125">
        <v>25.503</v>
      </c>
      <c r="K111" s="125">
        <v>18.363</v>
      </c>
      <c r="L111" s="125">
        <v>218.379</v>
      </c>
      <c r="M111" s="125">
        <v>166.642</v>
      </c>
      <c r="N111" s="125">
        <v>224.685</v>
      </c>
      <c r="O111" s="125">
        <v>173.022</v>
      </c>
      <c r="P111" s="117">
        <v>219.203</v>
      </c>
      <c r="Q111" s="117">
        <v>198.928</v>
      </c>
      <c r="R111" s="117">
        <v>221.274</v>
      </c>
      <c r="S111" s="117">
        <v>193.444</v>
      </c>
      <c r="T111" s="24">
        <v>7.927</v>
      </c>
      <c r="U111" s="24">
        <v>45.903</v>
      </c>
      <c r="V111" s="24">
        <v>24.343</v>
      </c>
    </row>
    <row r="112">
      <c r="A112" s="116" t="s">
        <v>153</v>
      </c>
      <c r="C112" s="66">
        <v>62.0</v>
      </c>
      <c r="D112" s="117">
        <v>52.463</v>
      </c>
      <c r="E112" s="117">
        <v>26.505</v>
      </c>
      <c r="F112" s="117">
        <v>5.292</v>
      </c>
      <c r="G112" s="117">
        <v>2.607</v>
      </c>
      <c r="H112" s="117">
        <v>6.744</v>
      </c>
      <c r="I112" s="117">
        <v>3.253</v>
      </c>
      <c r="J112" s="125">
        <v>25.941</v>
      </c>
      <c r="K112" s="125">
        <v>12.538</v>
      </c>
      <c r="L112" s="125">
        <v>214.892</v>
      </c>
      <c r="M112" s="125">
        <v>162.294</v>
      </c>
      <c r="N112" s="125">
        <v>220.183</v>
      </c>
      <c r="O112" s="125">
        <v>171.656</v>
      </c>
      <c r="P112" s="117">
        <v>222.187</v>
      </c>
      <c r="Q112" s="117">
        <v>197.742</v>
      </c>
      <c r="R112" s="117">
        <v>269.797</v>
      </c>
      <c r="S112" s="117">
        <v>192.941</v>
      </c>
      <c r="T112" s="24">
        <v>7.679</v>
      </c>
      <c r="U112" s="24">
        <v>48.798</v>
      </c>
      <c r="V112" s="24">
        <v>25.171</v>
      </c>
    </row>
    <row r="113">
      <c r="A113" s="116" t="s">
        <v>154</v>
      </c>
      <c r="C113" s="66">
        <v>63.0</v>
      </c>
      <c r="D113" s="117">
        <v>47.358</v>
      </c>
      <c r="E113" s="117">
        <v>25.767</v>
      </c>
      <c r="F113" s="117">
        <v>5.542</v>
      </c>
      <c r="G113" s="117">
        <v>2.64</v>
      </c>
      <c r="H113" s="117">
        <v>6.709</v>
      </c>
      <c r="I113" s="117">
        <v>3.254</v>
      </c>
      <c r="J113" s="125">
        <v>26.12</v>
      </c>
      <c r="K113" s="125">
        <v>17.6</v>
      </c>
      <c r="L113" s="125">
        <v>220.593</v>
      </c>
      <c r="M113" s="125">
        <v>165.526</v>
      </c>
      <c r="N113" s="125">
        <v>223.164</v>
      </c>
      <c r="O113" s="125">
        <v>165.23</v>
      </c>
      <c r="P113" s="117">
        <v>217.501</v>
      </c>
      <c r="Q113" s="117">
        <v>199.805</v>
      </c>
      <c r="R113" s="117">
        <v>220.651</v>
      </c>
      <c r="S113" s="117">
        <v>190.765</v>
      </c>
      <c r="T113" s="24">
        <v>7.887</v>
      </c>
      <c r="U113" s="24">
        <v>47.632</v>
      </c>
      <c r="V113" s="24">
        <v>25.329</v>
      </c>
    </row>
    <row r="114">
      <c r="A114" s="116" t="s">
        <v>155</v>
      </c>
      <c r="C114" s="66">
        <v>64.0</v>
      </c>
      <c r="D114" s="117">
        <v>48.753</v>
      </c>
      <c r="E114" s="117">
        <v>25.122</v>
      </c>
      <c r="F114" s="117">
        <v>5.439</v>
      </c>
      <c r="G114" s="117">
        <v>2.646</v>
      </c>
      <c r="H114" s="117">
        <v>6.957</v>
      </c>
      <c r="I114" s="117">
        <v>3.243</v>
      </c>
      <c r="J114" s="125">
        <v>25.328</v>
      </c>
      <c r="K114" s="125">
        <v>15.633</v>
      </c>
      <c r="L114" s="125">
        <v>213.882</v>
      </c>
      <c r="M114" s="125">
        <v>163.366</v>
      </c>
      <c r="N114" s="125">
        <v>217.712</v>
      </c>
      <c r="O114" s="125">
        <v>167.116</v>
      </c>
      <c r="P114" s="117">
        <v>222.89</v>
      </c>
      <c r="Q114" s="117">
        <v>190.374</v>
      </c>
      <c r="R114" s="117">
        <v>218.871</v>
      </c>
      <c r="S114" s="117">
        <v>188.013</v>
      </c>
      <c r="T114" s="24">
        <v>8.039</v>
      </c>
      <c r="U114" s="24">
        <v>49.211</v>
      </c>
      <c r="V114" s="24">
        <v>26.157</v>
      </c>
    </row>
    <row r="115">
      <c r="B115" s="65"/>
      <c r="C115" s="66" t="s">
        <v>47</v>
      </c>
      <c r="D115" s="65" t="str">
        <f t="shared" ref="D115:V115" si="25">AVERAGE(D51:D114)</f>
        <v>49.9</v>
      </c>
      <c r="E115" s="65" t="str">
        <f t="shared" si="25"/>
        <v>26.3</v>
      </c>
      <c r="F115" s="65" t="str">
        <f t="shared" si="25"/>
        <v>5.3</v>
      </c>
      <c r="G115" s="65" t="str">
        <f t="shared" si="25"/>
        <v>2.6</v>
      </c>
      <c r="H115" s="65" t="str">
        <f t="shared" si="25"/>
        <v>6.9</v>
      </c>
      <c r="I115" s="65" t="str">
        <f t="shared" si="25"/>
        <v>3.3</v>
      </c>
      <c r="J115" s="65" t="str">
        <f t="shared" si="25"/>
        <v>25.8</v>
      </c>
      <c r="K115" s="65" t="str">
        <f t="shared" si="25"/>
        <v>12.8</v>
      </c>
      <c r="L115" s="65" t="str">
        <f t="shared" si="25"/>
        <v>216.4</v>
      </c>
      <c r="M115" s="65" t="str">
        <f t="shared" si="25"/>
        <v>166.9</v>
      </c>
      <c r="N115" s="65" t="str">
        <f t="shared" si="25"/>
        <v>217.5</v>
      </c>
      <c r="O115" s="65" t="str">
        <f t="shared" si="25"/>
        <v>169.2</v>
      </c>
      <c r="P115" s="65" t="str">
        <f t="shared" si="25"/>
        <v>216.3</v>
      </c>
      <c r="Q115" s="65" t="str">
        <f t="shared" si="25"/>
        <v>193.4</v>
      </c>
      <c r="R115" s="65" t="str">
        <f t="shared" si="25"/>
        <v>224.9</v>
      </c>
      <c r="S115" s="65" t="str">
        <f t="shared" si="25"/>
        <v>192.4</v>
      </c>
      <c r="T115" s="65" t="str">
        <f t="shared" si="25"/>
        <v>8.0</v>
      </c>
      <c r="U115" s="65" t="str">
        <f t="shared" si="25"/>
        <v>48.5</v>
      </c>
      <c r="V115" s="65" t="str">
        <f t="shared" si="25"/>
        <v>24.8</v>
      </c>
    </row>
    <row r="116">
      <c r="B116" s="70"/>
      <c r="C116" s="69" t="s">
        <v>48</v>
      </c>
      <c r="D116" s="70" t="str">
        <f t="shared" ref="D116:E116" si="26">10000*1024*64/D115</f>
        <v>13131057.49008</v>
      </c>
      <c r="E116" s="70" t="str">
        <f t="shared" si="26"/>
        <v>24949744.24499</v>
      </c>
      <c r="F116" s="70" t="str">
        <f t="shared" ref="F116:G116" si="27">1000*64*10240/F115</f>
        <v>124535815.55546</v>
      </c>
      <c r="G116" s="70" t="str">
        <f t="shared" si="27"/>
        <v>248276221.31327</v>
      </c>
      <c r="H116" s="70" t="str">
        <f t="shared" ref="H116:I116" si="28">1000*64*102400/H115</f>
        <v>947434950.45189</v>
      </c>
      <c r="I116" s="70" t="str">
        <f t="shared" si="28"/>
        <v>1990359273.19663</v>
      </c>
      <c r="J116" s="70" t="str">
        <f t="shared" ref="J116:K116" si="29">1000*64*1024000/J115</f>
        <v>2541267766.83347</v>
      </c>
      <c r="K116" s="70" t="str">
        <f t="shared" si="29"/>
        <v>5110355700.78928</v>
      </c>
      <c r="L116" s="70" t="str">
        <f t="shared" ref="L116:M116" si="30">1000*64*10240000/L115</f>
        <v>3028185934.75649</v>
      </c>
      <c r="M116" s="70" t="str">
        <f t="shared" si="30"/>
        <v>3927724616.97628</v>
      </c>
      <c r="N116" s="70" t="str">
        <f t="shared" ref="N116:O116" si="31">100*64*102400000/N115</f>
        <v>3013076479.39845</v>
      </c>
      <c r="O116" s="70" t="str">
        <f t="shared" si="31"/>
        <v>3873924622.80693</v>
      </c>
      <c r="P116" s="70" t="str">
        <f t="shared" ref="P116:Q116" si="32">10*64*1024000000/P115</f>
        <v>3029764593.37388</v>
      </c>
      <c r="Q116" s="70" t="str">
        <f t="shared" si="32"/>
        <v>3389110624.94824</v>
      </c>
      <c r="R116" s="70" t="str">
        <f t="shared" ref="R116:S116" si="33">1*64*10240000000/R115</f>
        <v>2913461732.15460</v>
      </c>
      <c r="S116" s="70" t="str">
        <f t="shared" si="33"/>
        <v>3405613333.38205</v>
      </c>
      <c r="T116" t="str">
        <f>10000*64/T115</f>
        <v>79990.78231</v>
      </c>
      <c r="U116" t="str">
        <f t="shared" ref="U116:V116" si="34">640000/U115</f>
        <v>13185.97831</v>
      </c>
      <c r="V116" t="str">
        <f t="shared" si="34"/>
        <v>25821.04428</v>
      </c>
    </row>
    <row r="117">
      <c r="B117" s="73"/>
      <c r="C117" s="72" t="s">
        <v>65</v>
      </c>
      <c r="D117" s="74" t="str">
        <f t="shared" ref="D117:S117" si="35">D116/1024/1024</f>
        <v>12.5</v>
      </c>
      <c r="E117" s="74" t="str">
        <f t="shared" si="35"/>
        <v>23.8</v>
      </c>
      <c r="F117" s="74" t="str">
        <f t="shared" si="35"/>
        <v>118.8</v>
      </c>
      <c r="G117" s="74" t="str">
        <f t="shared" si="35"/>
        <v>236.8</v>
      </c>
      <c r="H117" s="74" t="str">
        <f t="shared" si="35"/>
        <v>903.5</v>
      </c>
      <c r="I117" s="74" t="str">
        <f t="shared" si="35"/>
        <v>1898.2</v>
      </c>
      <c r="J117" s="74" t="str">
        <f t="shared" si="35"/>
        <v>2423.5</v>
      </c>
      <c r="K117" s="74" t="str">
        <f t="shared" si="35"/>
        <v>4873.6</v>
      </c>
      <c r="L117" s="74" t="str">
        <f t="shared" si="35"/>
        <v>2887.9</v>
      </c>
      <c r="M117" s="74" t="str">
        <f t="shared" si="35"/>
        <v>3745.8</v>
      </c>
      <c r="N117" s="74" t="str">
        <f t="shared" si="35"/>
        <v>2873.5</v>
      </c>
      <c r="O117" s="74" t="str">
        <f t="shared" si="35"/>
        <v>3694.5</v>
      </c>
      <c r="P117" s="74" t="str">
        <f t="shared" si="35"/>
        <v>2889.4</v>
      </c>
      <c r="Q117" s="74" t="str">
        <f t="shared" si="35"/>
        <v>3232.1</v>
      </c>
      <c r="R117" s="74" t="str">
        <f t="shared" si="35"/>
        <v>2778.5</v>
      </c>
      <c r="S117" s="74" t="str">
        <f t="shared" si="35"/>
        <v>3247.8</v>
      </c>
    </row>
  </sheetData>
  <mergeCells count="59">
    <mergeCell ref="H14:I14"/>
    <mergeCell ref="H13:I13"/>
    <mergeCell ref="A5:E5"/>
    <mergeCell ref="G5:K5"/>
    <mergeCell ref="J13:K13"/>
    <mergeCell ref="L13:M13"/>
    <mergeCell ref="P14:Q14"/>
    <mergeCell ref="P13:Q13"/>
    <mergeCell ref="U14:V14"/>
    <mergeCell ref="U13:V13"/>
    <mergeCell ref="J14:K14"/>
    <mergeCell ref="X15:AC20"/>
    <mergeCell ref="R13:S13"/>
    <mergeCell ref="R14:S14"/>
    <mergeCell ref="L14:M14"/>
    <mergeCell ref="D14:E14"/>
    <mergeCell ref="F14:G14"/>
    <mergeCell ref="N14:O14"/>
    <mergeCell ref="J24:K24"/>
    <mergeCell ref="N24:O24"/>
    <mergeCell ref="L24:M24"/>
    <mergeCell ref="F48:G48"/>
    <mergeCell ref="J48:K48"/>
    <mergeCell ref="H48:I48"/>
    <mergeCell ref="P48:Q48"/>
    <mergeCell ref="U48:V48"/>
    <mergeCell ref="R48:S48"/>
    <mergeCell ref="N48:O48"/>
    <mergeCell ref="L48:M48"/>
    <mergeCell ref="J49:K49"/>
    <mergeCell ref="H49:I49"/>
    <mergeCell ref="U49:V49"/>
    <mergeCell ref="R49:S49"/>
    <mergeCell ref="L49:M49"/>
    <mergeCell ref="N49:O49"/>
    <mergeCell ref="P49:Q49"/>
    <mergeCell ref="H25:I25"/>
    <mergeCell ref="F25:G25"/>
    <mergeCell ref="W25:X25"/>
    <mergeCell ref="U25:V25"/>
    <mergeCell ref="L25:M25"/>
    <mergeCell ref="N25:O25"/>
    <mergeCell ref="R25:S25"/>
    <mergeCell ref="P25:Q25"/>
    <mergeCell ref="D24:E24"/>
    <mergeCell ref="F24:G24"/>
    <mergeCell ref="W24:X24"/>
    <mergeCell ref="U24:V24"/>
    <mergeCell ref="P24:Q24"/>
    <mergeCell ref="R24:S24"/>
    <mergeCell ref="H24:I24"/>
    <mergeCell ref="N13:O13"/>
    <mergeCell ref="D13:E13"/>
    <mergeCell ref="D48:E48"/>
    <mergeCell ref="D49:E49"/>
    <mergeCell ref="F49:G49"/>
    <mergeCell ref="F13:G13"/>
    <mergeCell ref="J25:K25"/>
    <mergeCell ref="D25:E25"/>
  </mergeCells>
  <conditionalFormatting sqref="A5">
    <cfRule type="notContainsBlanks" dxfId="0" priority="1">
      <formula>LEN(TRIM(A5))&gt;0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29"/>
    <col customWidth="1" min="2" max="2" width="11.43"/>
    <col customWidth="1" min="3" max="3" width="15.71"/>
    <col customWidth="1" min="4" max="4" width="10.14"/>
    <col customWidth="1" min="5" max="5" width="11.29"/>
    <col customWidth="1" min="6" max="6" width="13.0"/>
    <col customWidth="1" min="7" max="7" width="13.43"/>
    <col customWidth="1" min="8" max="8" width="10.14"/>
    <col customWidth="1" min="9" max="9" width="13.0"/>
    <col customWidth="1" min="10" max="11" width="10.14"/>
    <col customWidth="1" min="12" max="12" width="13.0"/>
    <col customWidth="1" min="13" max="13" width="11.29"/>
    <col customWidth="1" min="14" max="15" width="10.14"/>
    <col customWidth="1" min="16" max="16" width="13.0"/>
    <col customWidth="1" min="17" max="18" width="10.14"/>
    <col customWidth="1" min="19" max="19" width="10.0"/>
    <col customWidth="1" min="20" max="20" width="10.14"/>
    <col customWidth="1" min="21" max="21" width="11.86"/>
    <col customWidth="1" min="22" max="22" width="10.14"/>
    <col customWidth="1" min="23" max="23" width="9.86"/>
    <col customWidth="1" min="24" max="24" width="9.14"/>
    <col customWidth="1" min="25" max="25" width="10.14"/>
    <col customWidth="1" min="26" max="26" width="9.86"/>
  </cols>
  <sheetData>
    <row r="1">
      <c r="A1" s="105" t="s">
        <v>79</v>
      </c>
      <c r="B1" s="8"/>
      <c r="C1" s="8"/>
      <c r="D1" s="8"/>
      <c r="E1" s="9"/>
      <c r="F1" s="78"/>
      <c r="G1" s="105" t="s">
        <v>80</v>
      </c>
      <c r="H1" s="8"/>
      <c r="I1" s="8"/>
      <c r="J1" s="8"/>
      <c r="K1" s="9"/>
      <c r="L1" s="127"/>
      <c r="M1" s="127"/>
      <c r="N1" s="127"/>
      <c r="O1" s="127"/>
      <c r="P1" s="127"/>
    </row>
    <row r="2">
      <c r="A2" s="106" t="s">
        <v>73</v>
      </c>
      <c r="B2" s="94" t="s">
        <v>43</v>
      </c>
      <c r="C2" s="94" t="s">
        <v>44</v>
      </c>
      <c r="D2" s="94" t="s">
        <v>45</v>
      </c>
      <c r="E2" s="94" t="s">
        <v>46</v>
      </c>
      <c r="F2" s="78"/>
      <c r="G2" s="94" t="s">
        <v>73</v>
      </c>
      <c r="H2" s="94" t="s">
        <v>43</v>
      </c>
      <c r="I2" s="94" t="s">
        <v>44</v>
      </c>
      <c r="J2" s="94" t="s">
        <v>45</v>
      </c>
      <c r="K2" s="94" t="s">
        <v>46</v>
      </c>
      <c r="L2" s="127"/>
      <c r="M2" s="127"/>
      <c r="N2" s="127"/>
      <c r="O2" s="127"/>
      <c r="P2" s="127"/>
    </row>
    <row r="3">
      <c r="A3" s="107">
        <v>1.0</v>
      </c>
      <c r="B3" s="108" t="s">
        <v>156</v>
      </c>
      <c r="C3" s="86" t="s">
        <v>75</v>
      </c>
      <c r="D3" s="86" t="s">
        <v>75</v>
      </c>
      <c r="E3" s="86" t="s">
        <v>75</v>
      </c>
      <c r="F3" s="78"/>
      <c r="G3" s="97">
        <v>1.0</v>
      </c>
      <c r="H3" s="108" t="s">
        <v>157</v>
      </c>
      <c r="I3" s="86" t="s">
        <v>75</v>
      </c>
      <c r="J3" s="86" t="s">
        <v>75</v>
      </c>
      <c r="K3" s="86" t="s">
        <v>75</v>
      </c>
      <c r="L3" s="127"/>
      <c r="M3" s="127"/>
      <c r="N3" s="127"/>
      <c r="O3" s="127"/>
      <c r="P3" s="127"/>
    </row>
    <row r="4">
      <c r="A4" s="107">
        <v>2.0</v>
      </c>
      <c r="B4" s="108" t="s">
        <v>158</v>
      </c>
      <c r="C4" s="108" t="s">
        <v>159</v>
      </c>
      <c r="D4" s="86" t="s">
        <v>75</v>
      </c>
      <c r="E4" s="86" t="s">
        <v>75</v>
      </c>
      <c r="F4" s="78"/>
      <c r="G4" s="97">
        <v>2.0</v>
      </c>
      <c r="H4" s="108" t="s">
        <v>160</v>
      </c>
      <c r="I4" s="108" t="s">
        <v>161</v>
      </c>
      <c r="J4" s="86" t="s">
        <v>75</v>
      </c>
      <c r="K4" s="86" t="s">
        <v>75</v>
      </c>
      <c r="L4" s="127"/>
      <c r="M4" s="127"/>
      <c r="N4" s="127"/>
      <c r="O4" s="127"/>
      <c r="P4" s="127"/>
    </row>
    <row r="5">
      <c r="A5" s="107">
        <v>4.0</v>
      </c>
      <c r="B5" s="108" t="s">
        <v>162</v>
      </c>
      <c r="C5" s="108" t="s">
        <v>163</v>
      </c>
      <c r="D5" s="108" t="s">
        <v>164</v>
      </c>
      <c r="E5" s="108" t="s">
        <v>165</v>
      </c>
      <c r="F5" s="78"/>
      <c r="G5" s="97">
        <v>4.0</v>
      </c>
      <c r="H5" s="108" t="s">
        <v>166</v>
      </c>
      <c r="I5" s="108" t="s">
        <v>167</v>
      </c>
      <c r="J5" s="108" t="s">
        <v>168</v>
      </c>
      <c r="K5" s="108" t="s">
        <v>169</v>
      </c>
      <c r="L5" s="127" t="str">
        <f>(17.575+16.151+17.188+19.086)/4</f>
        <v>17.5</v>
      </c>
      <c r="M5" s="128" t="str">
        <f>40000/L5</f>
        <v>2285.714286</v>
      </c>
      <c r="N5" s="127"/>
      <c r="O5" s="127"/>
      <c r="P5" s="127"/>
    </row>
    <row r="6"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</row>
    <row r="7">
      <c r="A7" s="129"/>
      <c r="B7" s="20" t="s">
        <v>41</v>
      </c>
      <c r="C7" s="20" t="s">
        <v>170</v>
      </c>
      <c r="D7" s="130" t="s">
        <v>43</v>
      </c>
      <c r="E7" s="8"/>
      <c r="F7" s="131" t="s">
        <v>44</v>
      </c>
      <c r="G7" s="8"/>
      <c r="H7" s="131" t="s">
        <v>45</v>
      </c>
      <c r="I7" s="8"/>
      <c r="J7" s="131" t="s">
        <v>46</v>
      </c>
      <c r="K7" s="8"/>
      <c r="L7" s="132"/>
      <c r="M7" s="133"/>
      <c r="N7" s="133"/>
      <c r="O7" s="133"/>
      <c r="P7" s="134"/>
      <c r="Q7" s="135"/>
      <c r="Y7" s="24"/>
    </row>
    <row r="8">
      <c r="A8" s="24"/>
      <c r="B8" s="30"/>
      <c r="C8" s="30"/>
      <c r="D8" s="136" t="s">
        <v>16</v>
      </c>
      <c r="E8" s="136" t="s">
        <v>0</v>
      </c>
      <c r="F8" s="136" t="s">
        <v>16</v>
      </c>
      <c r="G8" s="136" t="s">
        <v>0</v>
      </c>
      <c r="H8" s="136" t="s">
        <v>16</v>
      </c>
      <c r="I8" s="136" t="s">
        <v>0</v>
      </c>
      <c r="J8" s="136" t="s">
        <v>16</v>
      </c>
      <c r="K8" s="136" t="s">
        <v>0</v>
      </c>
      <c r="L8" s="137"/>
      <c r="M8" s="137"/>
      <c r="N8" s="30" t="s">
        <v>16</v>
      </c>
      <c r="O8" s="137"/>
      <c r="P8" s="137"/>
      <c r="Q8" s="30" t="s">
        <v>0</v>
      </c>
      <c r="Y8" s="118" t="s">
        <v>171</v>
      </c>
      <c r="Z8" s="118" t="s">
        <v>171</v>
      </c>
      <c r="AA8" s="118" t="s">
        <v>171</v>
      </c>
      <c r="AB8" s="118" t="s">
        <v>171</v>
      </c>
    </row>
    <row r="9">
      <c r="A9" s="24" t="s">
        <v>91</v>
      </c>
      <c r="B9" s="24">
        <v>10000.0</v>
      </c>
      <c r="C9" s="24">
        <v>0.0</v>
      </c>
      <c r="D9" s="118" t="str">
        <f>0*60+32.156</f>
        <v>32.156</v>
      </c>
      <c r="E9" s="118" t="str">
        <f>0*60+30.338</f>
        <v>30.338</v>
      </c>
      <c r="F9" s="118" t="str">
        <f>0*60+32.041</f>
        <v>32.041</v>
      </c>
      <c r="G9" s="118" t="str">
        <f>0*60+32.404</f>
        <v>32.404</v>
      </c>
      <c r="H9" s="118" t="str">
        <f>0*60+32.097</f>
        <v>32.097</v>
      </c>
      <c r="I9" s="118" t="str">
        <f>0*60+31.342</f>
        <v>31.342</v>
      </c>
      <c r="J9" s="118" t="str">
        <f>0*60+32.314</f>
        <v>32.314</v>
      </c>
      <c r="K9" s="118" t="str">
        <f>0*60+33.893</f>
        <v>33.893</v>
      </c>
      <c r="L9" s="116" t="str">
        <f t="shared" ref="L9:L17" si="1">AVERAGE(J9,H9,F9,D9)</f>
        <v>32.152</v>
      </c>
      <c r="M9" s="116" t="str">
        <f>4*B9/L9</f>
        <v>1244.09057</v>
      </c>
      <c r="N9" s="138" t="str">
        <f t="shared" ref="N9:N17" si="2">M9/1024/1024</f>
        <v>0.001186457224</v>
      </c>
      <c r="O9" s="116" t="str">
        <f t="shared" ref="O9:O17" si="3">AVERAGE(K9,I9,G9,E9)</f>
        <v>31.99425</v>
      </c>
      <c r="P9" s="116" t="str">
        <f>4*B9/O9</f>
        <v>1250.22465</v>
      </c>
      <c r="Q9" s="138" t="str">
        <f t="shared" ref="Q9:Q17" si="4">P9/1024/1024</f>
        <v>0.001192307138</v>
      </c>
      <c r="Y9" s="118" t="str">
        <f>5*60+41.345</f>
        <v>341.345</v>
      </c>
      <c r="Z9" s="118" t="str">
        <f>5*60+14.029</f>
        <v>314.029</v>
      </c>
      <c r="AA9" s="118" t="str">
        <f>5*60+44.674</f>
        <v>344.674</v>
      </c>
      <c r="AB9" s="118" t="str">
        <f>5*60+54.048</f>
        <v>354.048</v>
      </c>
    </row>
    <row r="10">
      <c r="A10" s="24" t="s">
        <v>82</v>
      </c>
      <c r="B10" s="24">
        <v>10000.0</v>
      </c>
      <c r="C10" s="24">
        <v>1024.0</v>
      </c>
      <c r="D10" s="43" t="str">
        <f>0*60+44.836</f>
        <v>44.836</v>
      </c>
      <c r="E10" s="43" t="str">
        <f>0*60+34.647</f>
        <v>34.647</v>
      </c>
      <c r="F10" s="43" t="str">
        <f>0*60+42.822</f>
        <v>42.822</v>
      </c>
      <c r="G10" s="43" t="str">
        <f>0*60+35.859</f>
        <v>35.859</v>
      </c>
      <c r="H10" s="43" t="str">
        <f>0*60+43.801</f>
        <v>43.801</v>
      </c>
      <c r="I10" s="43" t="str">
        <f>0*60+35.98</f>
        <v>35.98</v>
      </c>
      <c r="J10" s="43" t="str">
        <f>0*60+45.585</f>
        <v>45.585</v>
      </c>
      <c r="K10" s="43" t="str">
        <f>0*60+37.658</f>
        <v>37.658</v>
      </c>
      <c r="L10" s="116" t="str">
        <f t="shared" si="1"/>
        <v>44.261</v>
      </c>
      <c r="M10" s="116" t="str">
        <f t="shared" ref="M10:M17" si="5">4*B10*C10/L10</f>
        <v>925419.6697</v>
      </c>
      <c r="N10" s="138" t="str">
        <f t="shared" si="2"/>
        <v>0.8825489709</v>
      </c>
      <c r="O10" s="116" t="str">
        <f t="shared" si="3"/>
        <v>36.036</v>
      </c>
      <c r="P10" s="116" t="str">
        <f t="shared" ref="P10:P17" si="6">4*B10*C10/O10</f>
        <v>1136641.137</v>
      </c>
      <c r="Q10" s="138" t="str">
        <f t="shared" si="4"/>
        <v>1.083985459</v>
      </c>
      <c r="Y10" s="43" t="str">
        <f>5*60+37.64</f>
        <v>337.64</v>
      </c>
      <c r="Z10" s="43" t="str">
        <f>5*60+8.172</f>
        <v>308.172</v>
      </c>
      <c r="AA10" s="43" t="str">
        <f>5*60+35.235</f>
        <v>335.235</v>
      </c>
      <c r="AB10" s="43" t="str">
        <f>5*60+50.134</f>
        <v>350.134</v>
      </c>
    </row>
    <row r="11">
      <c r="A11" s="24" t="s">
        <v>83</v>
      </c>
      <c r="B11" s="24">
        <v>1000.0</v>
      </c>
      <c r="C11" s="24" t="str">
        <f t="shared" ref="C11:C17" si="7">C10*10</f>
        <v>10240</v>
      </c>
      <c r="D11" s="43">
        <v>4.756</v>
      </c>
      <c r="E11" s="43" t="str">
        <f>0*60+3.269</f>
        <v>3.269</v>
      </c>
      <c r="F11" s="43" t="str">
        <f>0*60+4.736</f>
        <v>4.736</v>
      </c>
      <c r="G11" s="43" t="str">
        <f>0*60+3.665</f>
        <v>3.665</v>
      </c>
      <c r="H11" s="43" t="str">
        <f>0*60+4.582</f>
        <v>4.582</v>
      </c>
      <c r="I11" s="43" t="str">
        <f>0*60+3.235</f>
        <v>3.235</v>
      </c>
      <c r="J11" s="43" t="str">
        <f>0*60+4.578</f>
        <v>4.578</v>
      </c>
      <c r="K11" s="43" t="str">
        <f>0*60+3.203</f>
        <v>3.203</v>
      </c>
      <c r="L11" s="116" t="str">
        <f t="shared" si="1"/>
        <v>4.663</v>
      </c>
      <c r="M11" s="116" t="str">
        <f t="shared" si="5"/>
        <v>8784044.606</v>
      </c>
      <c r="N11" s="138" t="str">
        <f t="shared" si="2"/>
        <v>8.377117735</v>
      </c>
      <c r="O11" s="116" t="str">
        <f t="shared" si="3"/>
        <v>3.343</v>
      </c>
      <c r="P11" s="116" t="str">
        <f t="shared" si="6"/>
        <v>12252467.84</v>
      </c>
      <c r="Q11" s="138" t="str">
        <f t="shared" si="4"/>
        <v>11.68486389</v>
      </c>
      <c r="Y11" s="43" t="str">
        <f>0*60+56.468</f>
        <v>56.468</v>
      </c>
      <c r="Z11" s="43" t="str">
        <f>0*60+47.945</f>
        <v>47.945</v>
      </c>
      <c r="AA11" s="43" t="str">
        <f>1*60+7.789</f>
        <v>67.789</v>
      </c>
      <c r="AB11" s="43" t="str">
        <f>0*60+56.911</f>
        <v>56.911</v>
      </c>
    </row>
    <row r="12">
      <c r="A12" s="24" t="s">
        <v>84</v>
      </c>
      <c r="B12" s="24">
        <v>1000.0</v>
      </c>
      <c r="C12" s="24" t="str">
        <f t="shared" si="7"/>
        <v>102400</v>
      </c>
      <c r="D12" s="43" t="str">
        <f>0*60+5.036</f>
        <v>5.036</v>
      </c>
      <c r="E12" s="43" t="str">
        <f>0*60+3.341</f>
        <v>3.341</v>
      </c>
      <c r="F12" s="43" t="str">
        <f>0*60+3.799</f>
        <v>3.799</v>
      </c>
      <c r="G12" s="43" t="str">
        <f>0*60+3.306</f>
        <v>3.306</v>
      </c>
      <c r="H12" s="43" t="str">
        <f>0*60+4.959</f>
        <v>4.959</v>
      </c>
      <c r="I12" s="43" t="str">
        <f>0*60+3.423</f>
        <v>3.423</v>
      </c>
      <c r="J12" s="43" t="str">
        <f>0*60+5.173</f>
        <v>5.173</v>
      </c>
      <c r="K12" s="43" t="str">
        <f>0*60+3.272</f>
        <v>3.272</v>
      </c>
      <c r="L12" s="116" t="str">
        <f t="shared" si="1"/>
        <v>4.74175</v>
      </c>
      <c r="M12" s="116" t="str">
        <f t="shared" si="5"/>
        <v>86381610.17</v>
      </c>
      <c r="N12" s="138" t="str">
        <f t="shared" si="2"/>
        <v>82.37992302</v>
      </c>
      <c r="O12" s="116" t="str">
        <f t="shared" si="3"/>
        <v>3.3355</v>
      </c>
      <c r="P12" s="116" t="str">
        <f t="shared" si="6"/>
        <v>122800179.9</v>
      </c>
      <c r="Q12" s="138" t="str">
        <f t="shared" si="4"/>
        <v>117.1113776</v>
      </c>
      <c r="Y12" s="43" t="str">
        <f>0*60+54.806</f>
        <v>54.806</v>
      </c>
      <c r="Z12" s="43" t="str">
        <f>0*60+48.964</f>
        <v>48.964</v>
      </c>
      <c r="AA12" s="43" t="str">
        <f>1*60+3.561</f>
        <v>63.561</v>
      </c>
      <c r="AB12" s="43" t="str">
        <f>0*60+58.207</f>
        <v>58.207</v>
      </c>
    </row>
    <row r="13">
      <c r="A13" s="24" t="s">
        <v>85</v>
      </c>
      <c r="B13" s="24">
        <v>1000.0</v>
      </c>
      <c r="C13" s="24" t="str">
        <f t="shared" si="7"/>
        <v>1024000</v>
      </c>
      <c r="D13" s="43" t="str">
        <f>0*60+16.975</f>
        <v>16.975</v>
      </c>
      <c r="E13" s="43" t="str">
        <f>0*60+32.272</f>
        <v>32.272</v>
      </c>
      <c r="F13" s="43" t="str">
        <f>0*60+14.184</f>
        <v>14.184</v>
      </c>
      <c r="G13" s="43" t="str">
        <f>0*60+31.49</f>
        <v>31.49</v>
      </c>
      <c r="H13" s="43" t="str">
        <f>0*60+14.883</f>
        <v>14.883</v>
      </c>
      <c r="I13" s="43" t="str">
        <f>0*60+32.271</f>
        <v>32.271</v>
      </c>
      <c r="J13" s="43" t="str">
        <f>0*60+16.685</f>
        <v>16.685</v>
      </c>
      <c r="K13" s="43" t="str">
        <f>0*60+36.054</f>
        <v>36.054</v>
      </c>
      <c r="L13" s="116" t="str">
        <f t="shared" si="1"/>
        <v>15.68175</v>
      </c>
      <c r="M13" s="116" t="str">
        <f t="shared" si="5"/>
        <v>261195338.5</v>
      </c>
      <c r="N13" s="138" t="str">
        <f t="shared" si="2"/>
        <v>249.0952859</v>
      </c>
      <c r="O13" s="116" t="str">
        <f t="shared" si="3"/>
        <v>33.02175</v>
      </c>
      <c r="P13" s="116" t="str">
        <f t="shared" si="6"/>
        <v>124039458.8</v>
      </c>
      <c r="Q13" s="138" t="str">
        <f t="shared" si="4"/>
        <v>118.2932461</v>
      </c>
      <c r="Y13" s="43" t="str">
        <f>0*60+42.519</f>
        <v>42.519</v>
      </c>
      <c r="Z13" s="43" t="str">
        <f>0*60+41.37</f>
        <v>41.37</v>
      </c>
      <c r="AA13" s="43" t="str">
        <f>0*60+40.849</f>
        <v>40.849</v>
      </c>
      <c r="AB13" s="43" t="str">
        <f>0*60+39.784</f>
        <v>39.784</v>
      </c>
    </row>
    <row r="14">
      <c r="A14" s="24" t="s">
        <v>86</v>
      </c>
      <c r="B14" s="24">
        <v>1000.0</v>
      </c>
      <c r="C14" s="24" t="str">
        <f t="shared" si="7"/>
        <v>10240000</v>
      </c>
      <c r="D14" s="43" t="str">
        <f>6*60+22.861</f>
        <v>382.861</v>
      </c>
      <c r="E14" s="43" t="str">
        <f>3*60+37.889</f>
        <v>217.889</v>
      </c>
      <c r="F14" s="43" t="str">
        <f>4*60+26.884</f>
        <v>266.884</v>
      </c>
      <c r="G14" s="43" t="str">
        <f>4*60+19.457</f>
        <v>259.457</v>
      </c>
      <c r="H14" s="43" t="str">
        <f>6*60+6.754</f>
        <v>366.754</v>
      </c>
      <c r="I14" s="43" t="str">
        <f>4*60+1.676</f>
        <v>241.676</v>
      </c>
      <c r="J14" s="43" t="str">
        <f>6*60+8.559</f>
        <v>368.559</v>
      </c>
      <c r="K14" s="43" t="str">
        <f>4*60+4.021</f>
        <v>244.021</v>
      </c>
      <c r="L14" s="116" t="str">
        <f t="shared" si="1"/>
        <v>346.2645</v>
      </c>
      <c r="M14" s="116" t="str">
        <f t="shared" si="5"/>
        <v>118291075.2</v>
      </c>
      <c r="N14" s="138" t="str">
        <f t="shared" si="2"/>
        <v>112.8111603</v>
      </c>
      <c r="O14" s="116" t="str">
        <f t="shared" si="3"/>
        <v>240.76075</v>
      </c>
      <c r="P14" s="116" t="str">
        <f t="shared" si="6"/>
        <v>170127398.3</v>
      </c>
      <c r="Q14" s="138" t="str">
        <f t="shared" si="4"/>
        <v>162.2461302</v>
      </c>
      <c r="Y14" s="43" t="str">
        <f>3*60+25.703</f>
        <v>205.703</v>
      </c>
      <c r="Z14" s="43" t="str">
        <f>4*60+2.04</f>
        <v>242.04</v>
      </c>
      <c r="AA14" s="43" t="str">
        <f>3*60+44.771</f>
        <v>224.771</v>
      </c>
      <c r="AB14" s="43" t="str">
        <f>3*60+45.298</f>
        <v>225.298</v>
      </c>
    </row>
    <row r="15">
      <c r="A15" s="24" t="s">
        <v>87</v>
      </c>
      <c r="B15" s="24">
        <v>100.0</v>
      </c>
      <c r="C15" s="24" t="str">
        <f t="shared" si="7"/>
        <v>102400000</v>
      </c>
      <c r="D15" s="43" t="str">
        <f>5*60+10.661</f>
        <v>310.661</v>
      </c>
      <c r="E15" s="43" t="str">
        <f>5*60+23.723</f>
        <v>323.723</v>
      </c>
      <c r="F15" s="43" t="str">
        <f>4*60+30.221</f>
        <v>270.221</v>
      </c>
      <c r="G15" s="43" t="str">
        <f>5*60+19.888</f>
        <v>319.888</v>
      </c>
      <c r="H15" s="43" t="str">
        <f>5*60+16.947</f>
        <v>316.947</v>
      </c>
      <c r="I15" s="43" t="str">
        <f>5*60+22.672</f>
        <v>322.672</v>
      </c>
      <c r="J15" s="43" t="str">
        <f>5*60+29.216</f>
        <v>329.216</v>
      </c>
      <c r="K15" s="43" t="str">
        <f>5*60+28.034</f>
        <v>328.034</v>
      </c>
      <c r="L15" s="116" t="str">
        <f t="shared" si="1"/>
        <v>306.76125</v>
      </c>
      <c r="M15" s="116" t="str">
        <f t="shared" si="5"/>
        <v>133524035.4</v>
      </c>
      <c r="N15" s="138" t="str">
        <f t="shared" si="2"/>
        <v>127.3384432</v>
      </c>
      <c r="O15" s="116" t="str">
        <f t="shared" si="3"/>
        <v>323.57925</v>
      </c>
      <c r="P15" s="116" t="str">
        <f t="shared" si="6"/>
        <v>126584136.7</v>
      </c>
      <c r="Q15" s="138" t="str">
        <f t="shared" si="4"/>
        <v>120.72004</v>
      </c>
      <c r="Y15" s="43" t="str">
        <f>4*60+40.918</f>
        <v>280.918</v>
      </c>
      <c r="Z15" s="43" t="str">
        <f>4*60+40.579</f>
        <v>280.579</v>
      </c>
      <c r="AA15" s="43" t="str">
        <f>4*60+31.636</f>
        <v>271.636</v>
      </c>
      <c r="AB15" s="43" t="str">
        <f>4*60+42.521</f>
        <v>282.521</v>
      </c>
    </row>
    <row r="16">
      <c r="A16" s="24" t="s">
        <v>88</v>
      </c>
      <c r="B16" s="24">
        <v>10.0</v>
      </c>
      <c r="C16" s="24" t="str">
        <f t="shared" si="7"/>
        <v>1024000000</v>
      </c>
      <c r="D16" s="43" t="str">
        <f>5*60+0.064</f>
        <v>300.064</v>
      </c>
      <c r="E16" s="43" t="str">
        <f>6*60+34.704</f>
        <v>394.704</v>
      </c>
      <c r="F16" s="43" t="str">
        <f>5*60+17.364</f>
        <v>317.364</v>
      </c>
      <c r="G16" s="43" t="str">
        <f>6*60+20.637</f>
        <v>380.637</v>
      </c>
      <c r="H16" s="43" t="str">
        <f>4*60+59.299</f>
        <v>299.299</v>
      </c>
      <c r="I16" s="43" t="str">
        <f>6*60+43.587</f>
        <v>403.587</v>
      </c>
      <c r="J16" s="43" t="str">
        <f>4*60+46.129</f>
        <v>286.129</v>
      </c>
      <c r="K16" s="43" t="str">
        <f>6*60+28.145</f>
        <v>388.145</v>
      </c>
      <c r="L16" s="116" t="str">
        <f t="shared" si="1"/>
        <v>300.714</v>
      </c>
      <c r="M16" s="116" t="str">
        <f t="shared" si="5"/>
        <v>136209155.5</v>
      </c>
      <c r="N16" s="138" t="str">
        <f t="shared" si="2"/>
        <v>129.8991733</v>
      </c>
      <c r="O16" s="116" t="str">
        <f t="shared" si="3"/>
        <v>391.76825</v>
      </c>
      <c r="P16" s="116" t="str">
        <f t="shared" si="6"/>
        <v>104551606.7</v>
      </c>
      <c r="Q16" s="138" t="str">
        <f t="shared" si="4"/>
        <v>99.70818207</v>
      </c>
      <c r="Y16" s="43" t="str">
        <f>5*60+0.091</f>
        <v>300.091</v>
      </c>
      <c r="Z16" s="43" t="str">
        <f>5*60+21.475</f>
        <v>321.475</v>
      </c>
      <c r="AA16" s="43" t="str">
        <f>5*60+13.953</f>
        <v>313.953</v>
      </c>
      <c r="AB16" s="43" t="str">
        <f>4*60+59.065</f>
        <v>299.065</v>
      </c>
    </row>
    <row r="17">
      <c r="A17" s="24" t="s">
        <v>89</v>
      </c>
      <c r="B17" s="24">
        <v>1.0</v>
      </c>
      <c r="C17" s="24" t="str">
        <f t="shared" si="7"/>
        <v>10240000000</v>
      </c>
      <c r="D17" s="43" t="str">
        <f>5*60+30.356</f>
        <v>330.356</v>
      </c>
      <c r="E17" s="43" t="str">
        <f>4*60+59.211</f>
        <v>299.211</v>
      </c>
      <c r="F17" s="43" t="str">
        <f>5*60+43.261</f>
        <v>343.261</v>
      </c>
      <c r="G17" s="43" t="str">
        <f>4*60+52.477</f>
        <v>292.477</v>
      </c>
      <c r="H17" s="43" t="str">
        <f>5*60+33.934</f>
        <v>333.934</v>
      </c>
      <c r="I17" s="43" t="str">
        <f>4*60+45.257</f>
        <v>285.257</v>
      </c>
      <c r="J17" s="43" t="str">
        <f>5*60+1.753</f>
        <v>301.753</v>
      </c>
      <c r="K17" s="43" t="str">
        <f>4*60+49.583</f>
        <v>289.583</v>
      </c>
      <c r="L17" s="116" t="str">
        <f t="shared" si="1"/>
        <v>327.326</v>
      </c>
      <c r="M17" s="116" t="str">
        <f t="shared" si="5"/>
        <v>125135186.3</v>
      </c>
      <c r="N17" s="138" t="str">
        <f t="shared" si="2"/>
        <v>119.3382133</v>
      </c>
      <c r="O17" s="116" t="str">
        <f t="shared" si="3"/>
        <v>291.632</v>
      </c>
      <c r="P17" s="116" t="str">
        <f t="shared" si="6"/>
        <v>140450979.3</v>
      </c>
      <c r="Q17" s="138" t="str">
        <f t="shared" si="4"/>
        <v>133.9444917</v>
      </c>
      <c r="Y17" s="43" t="str">
        <f>6*60+4.83</f>
        <v>364.83</v>
      </c>
      <c r="Z17" s="43" t="str">
        <f>5*60+54.387</f>
        <v>354.387</v>
      </c>
      <c r="AA17" s="43" t="str">
        <f>6*60+9.786</f>
        <v>369.786</v>
      </c>
      <c r="AB17" s="43" t="str">
        <f>6*60+12.028</f>
        <v>372.028</v>
      </c>
    </row>
    <row r="18"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</row>
    <row r="19"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</row>
    <row r="20"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</row>
    <row r="22">
      <c r="A22" s="24" t="s">
        <v>81</v>
      </c>
      <c r="C22" s="47" t="s">
        <v>51</v>
      </c>
      <c r="D22" s="122" t="s">
        <v>82</v>
      </c>
      <c r="E22" s="8"/>
      <c r="F22" s="122" t="s">
        <v>83</v>
      </c>
      <c r="G22" s="8"/>
      <c r="H22" s="122" t="s">
        <v>84</v>
      </c>
      <c r="I22" s="8"/>
      <c r="J22" s="122" t="s">
        <v>85</v>
      </c>
      <c r="K22" s="8"/>
      <c r="L22" s="122" t="s">
        <v>86</v>
      </c>
      <c r="M22" s="8"/>
      <c r="N22" s="122"/>
      <c r="O22" s="122" t="s">
        <v>87</v>
      </c>
      <c r="P22" s="8"/>
      <c r="Q22" s="122" t="s">
        <v>88</v>
      </c>
      <c r="R22" s="9"/>
      <c r="S22" s="122" t="s">
        <v>89</v>
      </c>
      <c r="T22" s="9"/>
      <c r="U22" s="111" t="s">
        <v>90</v>
      </c>
      <c r="V22" s="110" t="s">
        <v>91</v>
      </c>
      <c r="W22" s="8"/>
      <c r="Y22" s="110" t="s">
        <v>87</v>
      </c>
      <c r="Z22" s="139" t="s">
        <v>172</v>
      </c>
      <c r="AA22" s="139" t="s">
        <v>173</v>
      </c>
      <c r="AB22" s="140"/>
      <c r="AC22" s="140"/>
      <c r="AD22" s="140"/>
      <c r="AE22" s="141"/>
      <c r="AF22" s="141"/>
      <c r="AG22" s="141"/>
      <c r="AH22" s="141"/>
      <c r="AI22" s="141"/>
      <c r="AJ22" s="141"/>
      <c r="AK22" s="141"/>
      <c r="AL22" s="141"/>
    </row>
    <row r="23">
      <c r="A23" s="24" t="s">
        <v>92</v>
      </c>
      <c r="C23" s="49" t="s">
        <v>52</v>
      </c>
      <c r="D23" s="122">
        <v>10000.0</v>
      </c>
      <c r="E23" s="8"/>
      <c r="F23" s="122">
        <v>1000.0</v>
      </c>
      <c r="G23" s="8"/>
      <c r="H23" s="122">
        <v>1000.0</v>
      </c>
      <c r="I23" s="8"/>
      <c r="J23" s="122">
        <v>1000.0</v>
      </c>
      <c r="K23" s="8"/>
      <c r="L23" s="122">
        <v>1000.0</v>
      </c>
      <c r="M23" s="8"/>
      <c r="N23" s="122"/>
      <c r="O23" s="122">
        <v>100.0</v>
      </c>
      <c r="P23" s="8"/>
      <c r="Q23" s="122">
        <v>10.0</v>
      </c>
      <c r="R23" s="9"/>
      <c r="S23" s="122">
        <v>1.0</v>
      </c>
      <c r="T23" s="9"/>
      <c r="U23" s="111" t="s">
        <v>93</v>
      </c>
      <c r="V23" s="110">
        <v>10000.0</v>
      </c>
      <c r="W23" s="8"/>
      <c r="Y23" s="110">
        <v>100.0</v>
      </c>
      <c r="Z23" s="139">
        <v>10.0</v>
      </c>
      <c r="AA23" s="139">
        <v>1.0</v>
      </c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</row>
    <row r="24">
      <c r="A24" s="112"/>
      <c r="C24" s="51" t="s">
        <v>53</v>
      </c>
      <c r="D24" s="124" t="s">
        <v>16</v>
      </c>
      <c r="E24" s="124" t="s">
        <v>0</v>
      </c>
      <c r="F24" s="124" t="s">
        <v>16</v>
      </c>
      <c r="G24" s="124" t="s">
        <v>0</v>
      </c>
      <c r="H24" s="124" t="s">
        <v>16</v>
      </c>
      <c r="I24" s="124" t="s">
        <v>0</v>
      </c>
      <c r="J24" s="124" t="s">
        <v>16</v>
      </c>
      <c r="K24" s="124" t="s">
        <v>0</v>
      </c>
      <c r="L24" s="124" t="s">
        <v>16</v>
      </c>
      <c r="M24" s="124" t="s">
        <v>0</v>
      </c>
      <c r="N24" s="124"/>
      <c r="O24" s="124" t="s">
        <v>16</v>
      </c>
      <c r="P24" s="124" t="s">
        <v>0</v>
      </c>
      <c r="Q24" s="124" t="s">
        <v>16</v>
      </c>
      <c r="R24" s="124" t="s">
        <v>0</v>
      </c>
      <c r="S24" s="124" t="s">
        <v>16</v>
      </c>
      <c r="T24" s="124" t="s">
        <v>0</v>
      </c>
      <c r="U24" s="24" t="s">
        <v>94</v>
      </c>
      <c r="V24" s="43" t="s">
        <v>16</v>
      </c>
      <c r="W24" s="43" t="s">
        <v>0</v>
      </c>
      <c r="Y24" s="43" t="s">
        <v>174</v>
      </c>
      <c r="Z24" s="43" t="s">
        <v>174</v>
      </c>
      <c r="AA24" s="43" t="s">
        <v>174</v>
      </c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</row>
    <row r="25">
      <c r="A25" s="116" t="s">
        <v>43</v>
      </c>
      <c r="C25" s="53">
        <v>1.0</v>
      </c>
      <c r="D25" s="124" t="str">
        <f>2*60+2.15</f>
        <v>122.2</v>
      </c>
      <c r="E25" s="142" t="str">
        <f>0*60+49.684</f>
        <v>49.7</v>
      </c>
      <c r="F25" s="142" t="str">
        <f>0*60+8.793</f>
        <v>8.8</v>
      </c>
      <c r="G25" s="142" t="str">
        <f>0*60+1.981</f>
        <v>2.0</v>
      </c>
      <c r="H25" s="124" t="str">
        <f>0*60+9.817</f>
        <v>9.8</v>
      </c>
      <c r="I25" s="124" t="str">
        <f>0*60+3.161</f>
        <v>3.2</v>
      </c>
      <c r="J25" s="124" t="str">
        <f>0*60+47.126</f>
        <v>47.1</v>
      </c>
      <c r="K25" s="124" t="str">
        <f>0*60+23.442</f>
        <v>23.4</v>
      </c>
      <c r="L25" s="124" t="str">
        <f>6*60+27.458</f>
        <v>387.5</v>
      </c>
      <c r="M25" s="124">
        <v>357.734</v>
      </c>
      <c r="N25" s="124"/>
      <c r="O25" s="124" t="str">
        <f>6*60+11.128</f>
        <v>371.1</v>
      </c>
      <c r="P25" s="124" t="str">
        <f>5*60+40.579</f>
        <v>340.6</v>
      </c>
      <c r="Q25" s="142" t="str">
        <f>5*60+10.826</f>
        <v>310.8</v>
      </c>
      <c r="R25" s="142" t="str">
        <f>7*60+55.189</f>
        <v>475.2</v>
      </c>
      <c r="S25" s="117" t="str">
        <f>6*60+6.833</f>
        <v>366.8</v>
      </c>
      <c r="T25" s="117" t="str">
        <f>6*60+26.755</f>
        <v>386.8</v>
      </c>
      <c r="U25" s="24">
        <v>6.369</v>
      </c>
      <c r="V25" s="43" t="str">
        <f>1*60+44.903</f>
        <v>104.903</v>
      </c>
      <c r="W25" s="43" t="str">
        <f>1*60+46.978</f>
        <v>106.978</v>
      </c>
      <c r="Y25" s="115" t="s">
        <v>175</v>
      </c>
      <c r="Z25" s="143" t="s">
        <v>176</v>
      </c>
      <c r="AA25" s="27" t="s">
        <v>177</v>
      </c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</row>
    <row r="26">
      <c r="A26" s="116" t="s">
        <v>44</v>
      </c>
      <c r="C26" s="53">
        <v>2.0</v>
      </c>
      <c r="D26" s="124" t="str">
        <f>1*60+50.874</f>
        <v>110.9</v>
      </c>
      <c r="E26" s="142" t="str">
        <f>0*60+50.484</f>
        <v>50.5</v>
      </c>
      <c r="F26" s="142" t="str">
        <f>0*60+9.023</f>
        <v>9.0</v>
      </c>
      <c r="G26" s="142" t="str">
        <f>0*60+1.849</f>
        <v>1.8</v>
      </c>
      <c r="H26" s="142" t="str">
        <f>0*60+9.249</f>
        <v>9.2</v>
      </c>
      <c r="I26" s="142" t="str">
        <f>0*60+4.29</f>
        <v>4.3</v>
      </c>
      <c r="J26" s="142" t="str">
        <f>0*60+46.131</f>
        <v>46.1</v>
      </c>
      <c r="K26" s="124" t="str">
        <f>0*60+26.125</f>
        <v>26.1</v>
      </c>
      <c r="L26" s="124" t="str">
        <f>7*60+1.145</f>
        <v>421.1</v>
      </c>
      <c r="M26" s="124">
        <v>353.912</v>
      </c>
      <c r="N26" s="124"/>
      <c r="O26" s="124" t="str">
        <f>4*60+38.691</f>
        <v>278.7</v>
      </c>
      <c r="P26" s="124" t="str">
        <f>5*60+52.383</f>
        <v>352.4</v>
      </c>
      <c r="Q26" s="142" t="str">
        <f>5*60+16.695</f>
        <v>316.7</v>
      </c>
      <c r="R26" s="142" t="str">
        <f>7*60+53.26</f>
        <v>473.3</v>
      </c>
      <c r="S26" s="144" t="str">
        <f>6*60+14.808</f>
        <v>374.8</v>
      </c>
      <c r="T26" s="144" t="str">
        <f>6*60+36.425</f>
        <v>396.4</v>
      </c>
      <c r="U26" s="24">
        <v>5.508</v>
      </c>
      <c r="V26" s="43" t="str">
        <f>1*60+49.528</f>
        <v>109.528</v>
      </c>
      <c r="W26" s="43" t="str">
        <f>1*60+47.541</f>
        <v>107.541</v>
      </c>
      <c r="Y26" s="115" t="s">
        <v>178</v>
      </c>
      <c r="Z26" s="143" t="s">
        <v>179</v>
      </c>
      <c r="AA26" s="143" t="s">
        <v>180</v>
      </c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</row>
    <row r="27">
      <c r="A27" s="116" t="s">
        <v>45</v>
      </c>
      <c r="C27" s="53">
        <v>3.0</v>
      </c>
      <c r="D27" s="124" t="str">
        <f>2*60+0.928</f>
        <v>120.9</v>
      </c>
      <c r="E27" s="142" t="str">
        <f>0*60+49.655</f>
        <v>49.7</v>
      </c>
      <c r="F27" s="142" t="str">
        <f>0*60+8.762</f>
        <v>8.8</v>
      </c>
      <c r="G27" s="142" t="str">
        <f>0*60+1.892</f>
        <v>1.9</v>
      </c>
      <c r="H27" s="142" t="str">
        <f>0*60+11.148</f>
        <v>11.1</v>
      </c>
      <c r="I27" s="142" t="str">
        <f>0*60+3.589</f>
        <v>3.6</v>
      </c>
      <c r="J27" s="142" t="str">
        <f>0*60+47.904</f>
        <v>47.9</v>
      </c>
      <c r="K27" s="124" t="str">
        <f>0*60+26.403</f>
        <v>26.4</v>
      </c>
      <c r="L27" s="124" t="str">
        <f>7*60+1.065</f>
        <v>421.1</v>
      </c>
      <c r="M27" s="124">
        <v>353.007</v>
      </c>
      <c r="N27" s="124"/>
      <c r="O27" s="124" t="str">
        <f>6*60+18.205</f>
        <v>378.2</v>
      </c>
      <c r="P27" s="124" t="str">
        <f>5*60+48.241</f>
        <v>348.2</v>
      </c>
      <c r="Q27" s="142" t="str">
        <f>5*60+49.947</f>
        <v>349.9</v>
      </c>
      <c r="R27" s="142" t="str">
        <f>8*60+6.884</f>
        <v>486.9</v>
      </c>
      <c r="S27" s="144" t="str">
        <f>5*60+25.693</f>
        <v>325.7</v>
      </c>
      <c r="T27" s="144" t="str">
        <f>6*60+32.732</f>
        <v>392.7</v>
      </c>
      <c r="U27" s="24">
        <v>4.911</v>
      </c>
      <c r="V27" s="43" t="str">
        <f>1*60+51.655</f>
        <v>111.655</v>
      </c>
      <c r="W27" s="43" t="str">
        <f>1*60+44.374</f>
        <v>104.374</v>
      </c>
      <c r="Y27" s="115" t="s">
        <v>181</v>
      </c>
      <c r="Z27" s="143" t="s">
        <v>182</v>
      </c>
      <c r="AA27" s="143" t="s">
        <v>183</v>
      </c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</row>
    <row r="28">
      <c r="A28" s="116" t="s">
        <v>46</v>
      </c>
      <c r="C28" s="53">
        <v>4.0</v>
      </c>
      <c r="D28" s="124" t="str">
        <f>2*60+1.704</f>
        <v>121.7</v>
      </c>
      <c r="E28" s="142" t="str">
        <f>0*60+52.127</f>
        <v>52.1</v>
      </c>
      <c r="F28" s="142" t="str">
        <f>0*60+8.938</f>
        <v>8.9</v>
      </c>
      <c r="G28" s="142" t="str">
        <f>0*60+2.261</f>
        <v>2.3</v>
      </c>
      <c r="H28" s="142" t="str">
        <f>0*60+10.909</f>
        <v>10.9</v>
      </c>
      <c r="I28" s="142" t="str">
        <f>0*60+3.675</f>
        <v>3.7</v>
      </c>
      <c r="J28" s="142" t="str">
        <f>0*60+46.538</f>
        <v>46.5</v>
      </c>
      <c r="K28" s="124" t="str">
        <f>0*60+26.913</f>
        <v>26.9</v>
      </c>
      <c r="L28" s="124" t="str">
        <f>6*60+46.035</f>
        <v>406.0</v>
      </c>
      <c r="M28" s="124">
        <v>358.234</v>
      </c>
      <c r="N28" s="124"/>
      <c r="O28" s="124" t="str">
        <f>5*60+56.3</f>
        <v>356.3</v>
      </c>
      <c r="P28" s="124" t="str">
        <f>5*60+42.359</f>
        <v>342.4</v>
      </c>
      <c r="Q28" s="142" t="str">
        <f>5*60+8.796</f>
        <v>308.8</v>
      </c>
      <c r="R28" s="142" t="str">
        <f>7*60+53.873</f>
        <v>473.9</v>
      </c>
      <c r="S28" s="144" t="str">
        <f>5*60+38.718</f>
        <v>338.7</v>
      </c>
      <c r="T28" s="144" t="str">
        <f>6*60+43.254</f>
        <v>403.3</v>
      </c>
      <c r="U28" s="24">
        <v>5.312</v>
      </c>
      <c r="V28" s="43" t="str">
        <f>1*60+44.708</f>
        <v>104.708</v>
      </c>
      <c r="W28" s="43" t="str">
        <f>1*60+44.89</f>
        <v>104.89</v>
      </c>
      <c r="Y28" s="115" t="s">
        <v>184</v>
      </c>
      <c r="Z28" s="143" t="s">
        <v>185</v>
      </c>
      <c r="AA28" s="143" t="s">
        <v>186</v>
      </c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</row>
    <row r="29">
      <c r="A29" s="116" t="s">
        <v>96</v>
      </c>
      <c r="C29" s="53">
        <v>5.0</v>
      </c>
      <c r="D29" s="124" t="str">
        <f>2*60+0.005</f>
        <v>120.0</v>
      </c>
      <c r="E29" s="142" t="str">
        <f>0*60+50.517</f>
        <v>50.5</v>
      </c>
      <c r="F29" s="142" t="str">
        <f>0*60+8.213</f>
        <v>8.2</v>
      </c>
      <c r="G29" s="142" t="str">
        <f>0*60+2.004</f>
        <v>2.0</v>
      </c>
      <c r="H29" s="142" t="str">
        <f>0*60+9.851</f>
        <v>9.9</v>
      </c>
      <c r="I29" s="142" t="str">
        <f>0*60+3.833</f>
        <v>3.8</v>
      </c>
      <c r="J29" s="142" t="str">
        <f>0*60+46.319</f>
        <v>46.3</v>
      </c>
      <c r="K29" s="124" t="str">
        <f>0*60+23.571</f>
        <v>23.6</v>
      </c>
      <c r="L29" s="124" t="str">
        <f>6*60+45.28</f>
        <v>405.3</v>
      </c>
      <c r="M29" s="124">
        <v>359.971</v>
      </c>
      <c r="N29" s="124"/>
      <c r="O29" s="124" t="str">
        <f>6*60+17.928</f>
        <v>377.9</v>
      </c>
      <c r="P29" s="124" t="str">
        <f>5*60+46.194</f>
        <v>346.2</v>
      </c>
      <c r="Q29" s="142" t="str">
        <f>5*60+48.58</f>
        <v>348.6</v>
      </c>
      <c r="R29" s="142" t="str">
        <f>7*60+57.054</f>
        <v>477.1</v>
      </c>
      <c r="S29" s="144" t="str">
        <f>6*60+2.545</f>
        <v>362.5</v>
      </c>
      <c r="T29" s="144" t="str">
        <f>6*60+35.815</f>
        <v>395.8</v>
      </c>
      <c r="U29" s="24">
        <v>7.196</v>
      </c>
      <c r="V29" s="43" t="str">
        <f>1*60+53.08</f>
        <v>113.08</v>
      </c>
      <c r="W29" s="43" t="str">
        <f>1*60+44.833</f>
        <v>104.833</v>
      </c>
      <c r="Y29" s="115" t="s">
        <v>187</v>
      </c>
      <c r="Z29" s="143" t="s">
        <v>188</v>
      </c>
      <c r="AA29" s="143" t="s">
        <v>189</v>
      </c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</row>
    <row r="30">
      <c r="A30" s="116" t="s">
        <v>97</v>
      </c>
      <c r="C30" s="53">
        <v>6.0</v>
      </c>
      <c r="D30" s="124" t="str">
        <f>1*60+57.073</f>
        <v>117.1</v>
      </c>
      <c r="E30" s="142" t="str">
        <f>0*60+48.611</f>
        <v>48.6</v>
      </c>
      <c r="F30" s="142" t="str">
        <f>0*60+8.485</f>
        <v>8.5</v>
      </c>
      <c r="G30" s="142" t="str">
        <f>0*60+1.854</f>
        <v>1.9</v>
      </c>
      <c r="H30" s="142" t="str">
        <f>0*60+10.141</f>
        <v>10.1</v>
      </c>
      <c r="I30" s="142" t="str">
        <f>0*60+3.201</f>
        <v>3.2</v>
      </c>
      <c r="J30" s="142" t="str">
        <f>0*60+46.728</f>
        <v>46.7</v>
      </c>
      <c r="K30" s="124" t="str">
        <f>0*60+25.579</f>
        <v>25.6</v>
      </c>
      <c r="L30" s="124" t="str">
        <f>6*60+27.411</f>
        <v>387.4</v>
      </c>
      <c r="M30" s="124">
        <v>358.996</v>
      </c>
      <c r="N30" s="124"/>
      <c r="O30" s="124" t="str">
        <f>6*60+18.759</f>
        <v>378.8</v>
      </c>
      <c r="P30" s="124" t="str">
        <f>5*60+49.091</f>
        <v>349.1</v>
      </c>
      <c r="Q30" s="142" t="str">
        <f>5*60+44.138</f>
        <v>344.1</v>
      </c>
      <c r="R30" s="142" t="str">
        <f>7*60+46.487</f>
        <v>466.5</v>
      </c>
      <c r="S30" s="144" t="str">
        <f>6*60+12.481</f>
        <v>372.5</v>
      </c>
      <c r="T30" s="144" t="str">
        <f>6*60+29.233</f>
        <v>389.2</v>
      </c>
      <c r="U30" s="24">
        <v>5.131</v>
      </c>
      <c r="V30" s="43" t="str">
        <f>1*60+52.284</f>
        <v>112.284</v>
      </c>
      <c r="W30" s="43" t="str">
        <f>1*60+44.422</f>
        <v>104.422</v>
      </c>
      <c r="Y30" s="115" t="s">
        <v>190</v>
      </c>
      <c r="Z30" s="143" t="s">
        <v>191</v>
      </c>
      <c r="AA30" s="143" t="s">
        <v>192</v>
      </c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</row>
    <row r="31">
      <c r="A31" s="116" t="s">
        <v>98</v>
      </c>
      <c r="C31" s="53">
        <v>7.0</v>
      </c>
      <c r="D31" s="124" t="str">
        <f>2*60+5.477</f>
        <v>125.5</v>
      </c>
      <c r="E31" s="142" t="str">
        <f>0*60+48.019</f>
        <v>48.0</v>
      </c>
      <c r="F31" s="142" t="str">
        <f>0*60+8.385</f>
        <v>8.4</v>
      </c>
      <c r="G31" s="142" t="str">
        <f>0*60+1.899</f>
        <v>1.9</v>
      </c>
      <c r="H31" s="142" t="str">
        <f>0*60+9.276</f>
        <v>9.3</v>
      </c>
      <c r="I31" s="142" t="str">
        <f>0*60+3.046</f>
        <v>3.0</v>
      </c>
      <c r="J31" s="142" t="str">
        <f>0*60+46.253</f>
        <v>46.3</v>
      </c>
      <c r="K31" s="124" t="str">
        <f>0*60+23.262</f>
        <v>23.3</v>
      </c>
      <c r="L31" s="124" t="str">
        <f>6*60+26.212</f>
        <v>386.2</v>
      </c>
      <c r="M31" s="124">
        <v>361.783</v>
      </c>
      <c r="N31" s="124"/>
      <c r="O31" s="124" t="str">
        <f>5*60+56.512</f>
        <v>356.5</v>
      </c>
      <c r="P31" s="124" t="str">
        <f>5*60+36.424</f>
        <v>336.4</v>
      </c>
      <c r="Q31" s="142" t="str">
        <f>5*60+44.019</f>
        <v>344.0</v>
      </c>
      <c r="R31" s="142" t="str">
        <f>7*60+28.194</f>
        <v>448.2</v>
      </c>
      <c r="S31" s="144" t="str">
        <f>6*60+10.194</f>
        <v>370.2</v>
      </c>
      <c r="T31" s="144" t="str">
        <f>6*60+11.61</f>
        <v>371.6</v>
      </c>
      <c r="U31" s="24">
        <v>4.751</v>
      </c>
      <c r="V31" s="43" t="str">
        <f>1*60+49.866</f>
        <v>109.866</v>
      </c>
      <c r="W31" s="43" t="str">
        <f>1*60+43.768</f>
        <v>103.768</v>
      </c>
      <c r="Y31" s="115" t="s">
        <v>193</v>
      </c>
      <c r="Z31" s="143" t="s">
        <v>194</v>
      </c>
      <c r="AA31" s="143" t="s">
        <v>195</v>
      </c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</row>
    <row r="32">
      <c r="A32" s="116" t="s">
        <v>99</v>
      </c>
      <c r="C32" s="53">
        <v>8.0</v>
      </c>
      <c r="D32" s="124" t="str">
        <f>1*60+49.657</f>
        <v>109.7</v>
      </c>
      <c r="E32" s="142" t="str">
        <f>0*60+49.841</f>
        <v>49.8</v>
      </c>
      <c r="F32" s="142" t="str">
        <f>0*60+8.6</f>
        <v>8.6</v>
      </c>
      <c r="G32" s="142" t="str">
        <f>0*60+2.425</f>
        <v>2.4</v>
      </c>
      <c r="H32" s="142" t="str">
        <f>0*60+8.633</f>
        <v>8.6</v>
      </c>
      <c r="I32" s="142" t="str">
        <f>0*60+3.752</f>
        <v>3.8</v>
      </c>
      <c r="J32" s="142" t="str">
        <f>0*60+17.841</f>
        <v>17.8</v>
      </c>
      <c r="K32" s="124" t="str">
        <f>0*60+22.588</f>
        <v>22.6</v>
      </c>
      <c r="L32" s="124" t="str">
        <f>4*60+55.87</f>
        <v>295.9</v>
      </c>
      <c r="M32" s="124">
        <v>362.281</v>
      </c>
      <c r="N32" s="124"/>
      <c r="O32" s="124" t="str">
        <f>6*60+7.979</f>
        <v>368.0</v>
      </c>
      <c r="P32" s="124" t="str">
        <f>5*60+36.892</f>
        <v>336.9</v>
      </c>
      <c r="Q32" s="142" t="str">
        <f>5*60+41.559</f>
        <v>341.6</v>
      </c>
      <c r="R32" s="142" t="str">
        <f>7*60+33.553</f>
        <v>453.6</v>
      </c>
      <c r="S32" s="144" t="str">
        <f>6*60+10.265</f>
        <v>370.3</v>
      </c>
      <c r="T32" s="144" t="str">
        <f>6*60+13.5</f>
        <v>373.5</v>
      </c>
      <c r="U32" s="24">
        <v>4.76</v>
      </c>
      <c r="V32" s="43" t="str">
        <f>1*60+35.634</f>
        <v>95.634</v>
      </c>
      <c r="W32" s="43" t="str">
        <f>1*60+42.57</f>
        <v>102.57</v>
      </c>
      <c r="Y32" s="115" t="s">
        <v>196</v>
      </c>
      <c r="Z32" s="143" t="s">
        <v>197</v>
      </c>
      <c r="AA32" s="143" t="s">
        <v>198</v>
      </c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</row>
    <row r="33">
      <c r="A33" s="116" t="s">
        <v>100</v>
      </c>
      <c r="C33" s="53">
        <v>9.0</v>
      </c>
      <c r="D33" s="124" t="str">
        <f>2*60+4.081</f>
        <v>124.1</v>
      </c>
      <c r="E33" s="142" t="str">
        <f>0*60+48.866</f>
        <v>48.9</v>
      </c>
      <c r="F33" s="142" t="str">
        <f>0*60+9.949</f>
        <v>9.9</v>
      </c>
      <c r="G33" s="142" t="str">
        <f>0*60+1.864</f>
        <v>1.9</v>
      </c>
      <c r="H33" s="142" t="str">
        <f>0*60+9.814</f>
        <v>9.8</v>
      </c>
      <c r="I33" s="142" t="str">
        <f>0*60+3.72</f>
        <v>3.7</v>
      </c>
      <c r="J33" s="142" t="str">
        <f>0*60+44.595</f>
        <v>44.6</v>
      </c>
      <c r="K33" s="124" t="str">
        <f>0*60+24.36</f>
        <v>24.4</v>
      </c>
      <c r="L33" s="124" t="str">
        <f>6*60+50.614</f>
        <v>410.6</v>
      </c>
      <c r="M33" s="124">
        <v>361.214</v>
      </c>
      <c r="N33" s="124"/>
      <c r="O33" s="124" t="str">
        <f>6*60+17.539</f>
        <v>377.5</v>
      </c>
      <c r="P33" s="124" t="str">
        <f>5*60+55.39</f>
        <v>355.4</v>
      </c>
      <c r="Q33" s="142" t="str">
        <f>5*60+16.62</f>
        <v>316.6</v>
      </c>
      <c r="R33" s="142" t="str">
        <f>8*60+5.996</f>
        <v>486.0</v>
      </c>
      <c r="S33" s="144" t="str">
        <f>6*60+11.106</f>
        <v>371.1</v>
      </c>
      <c r="T33" s="144" t="str">
        <f>6*60+39.102</f>
        <v>399.1</v>
      </c>
      <c r="U33" s="24">
        <v>4.905</v>
      </c>
      <c r="V33" s="43" t="str">
        <f>1*60+52.209</f>
        <v>112.209</v>
      </c>
      <c r="W33" s="43" t="str">
        <f>1*60+44.555</f>
        <v>104.555</v>
      </c>
      <c r="Y33" s="115" t="s">
        <v>199</v>
      </c>
      <c r="Z33" s="143" t="s">
        <v>200</v>
      </c>
      <c r="AA33" s="143" t="s">
        <v>201</v>
      </c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</row>
    <row r="34">
      <c r="A34" s="116" t="s">
        <v>101</v>
      </c>
      <c r="C34" s="53">
        <v>10.0</v>
      </c>
      <c r="D34" s="124" t="str">
        <f>1*60+56.499</f>
        <v>116.5</v>
      </c>
      <c r="E34" s="142" t="str">
        <f>0*60+49.167</f>
        <v>49.2</v>
      </c>
      <c r="F34" s="142" t="str">
        <f>0*60+8.869</f>
        <v>8.9</v>
      </c>
      <c r="G34" s="142" t="str">
        <f>0*60+1.823</f>
        <v>1.8</v>
      </c>
      <c r="H34" s="142" t="str">
        <f>0*60+9.998</f>
        <v>10.0</v>
      </c>
      <c r="I34" s="142" t="str">
        <f>0*60+3.216</f>
        <v>3.2</v>
      </c>
      <c r="J34" s="142" t="str">
        <f>0*60+46.4</f>
        <v>46.4</v>
      </c>
      <c r="K34" s="124" t="str">
        <f>0*60+25.077</f>
        <v>25.1</v>
      </c>
      <c r="L34" s="124" t="str">
        <f>6*60+46.364</f>
        <v>406.4</v>
      </c>
      <c r="M34" s="124">
        <v>360.633</v>
      </c>
      <c r="N34" s="124"/>
      <c r="O34" s="124" t="str">
        <f>5*60+56.307</f>
        <v>356.3</v>
      </c>
      <c r="P34" s="124" t="str">
        <f>6*60+14.553</f>
        <v>374.6</v>
      </c>
      <c r="Q34" s="142" t="str">
        <f>5*60+40.6</f>
        <v>340.6</v>
      </c>
      <c r="R34" s="142" t="str">
        <f>7*60+51.235</f>
        <v>471.2</v>
      </c>
      <c r="S34" s="144" t="str">
        <f>6*60+10.353</f>
        <v>370.4</v>
      </c>
      <c r="T34" s="144" t="str">
        <f>6*60+28.925</f>
        <v>388.9</v>
      </c>
      <c r="U34" s="24">
        <v>6.317</v>
      </c>
      <c r="V34" s="43" t="str">
        <f>1*60+48.739</f>
        <v>108.739</v>
      </c>
      <c r="W34" s="43" t="str">
        <f>1*60+48.597</f>
        <v>108.597</v>
      </c>
      <c r="Y34" s="115" t="s">
        <v>202</v>
      </c>
      <c r="Z34" s="143" t="s">
        <v>203</v>
      </c>
      <c r="AA34" s="143" t="s">
        <v>204</v>
      </c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</row>
    <row r="35">
      <c r="A35" s="116" t="s">
        <v>102</v>
      </c>
      <c r="C35" s="53">
        <v>11.0</v>
      </c>
      <c r="D35" s="124" t="str">
        <f>2*60+2.662</f>
        <v>122.7</v>
      </c>
      <c r="E35" s="142" t="str">
        <f>0*60+49.606</f>
        <v>49.6</v>
      </c>
      <c r="F35" s="142" t="str">
        <f>0*60+7.883</f>
        <v>7.9</v>
      </c>
      <c r="G35" s="142" t="str">
        <f>0*60+2.174</f>
        <v>2.2</v>
      </c>
      <c r="H35" s="142" t="str">
        <f>0*60+10.003</f>
        <v>10.0</v>
      </c>
      <c r="I35" s="142" t="str">
        <f>0*60+5.191</f>
        <v>5.2</v>
      </c>
      <c r="J35" s="142" t="str">
        <f>0*60+46.028</f>
        <v>46.0</v>
      </c>
      <c r="K35" s="124" t="str">
        <f>0*60+24.433</f>
        <v>24.4</v>
      </c>
      <c r="L35" s="124" t="str">
        <f>6*60+27.791</f>
        <v>387.8</v>
      </c>
      <c r="M35" s="124">
        <v>360.368</v>
      </c>
      <c r="N35" s="124"/>
      <c r="O35" s="124" t="str">
        <f>6*60+17.792</f>
        <v>377.8</v>
      </c>
      <c r="P35" s="124" t="str">
        <f>5*60+44.064</f>
        <v>344.1</v>
      </c>
      <c r="Q35" s="142" t="str">
        <f>5*60+13</f>
        <v>313.0</v>
      </c>
      <c r="R35" s="142" t="str">
        <f>7*60+56.212</f>
        <v>476.2</v>
      </c>
      <c r="S35" s="144" t="str">
        <f>6*60+13.726</f>
        <v>373.7</v>
      </c>
      <c r="T35" s="144" t="str">
        <f>6*60+20.401</f>
        <v>380.4</v>
      </c>
      <c r="U35" s="24">
        <v>6.202</v>
      </c>
      <c r="V35" s="43" t="str">
        <f>1*60+43.569</f>
        <v>103.569</v>
      </c>
      <c r="W35" s="43" t="str">
        <f>1*60+43.444</f>
        <v>103.444</v>
      </c>
      <c r="Y35" s="115" t="s">
        <v>205</v>
      </c>
      <c r="Z35" s="143" t="s">
        <v>206</v>
      </c>
      <c r="AA35" s="143" t="s">
        <v>207</v>
      </c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</row>
    <row r="36">
      <c r="A36" s="116" t="s">
        <v>103</v>
      </c>
      <c r="C36" s="53">
        <v>12.0</v>
      </c>
      <c r="D36" s="124" t="str">
        <f>1*60+55.795</f>
        <v>115.8</v>
      </c>
      <c r="E36" s="142" t="str">
        <f>0*60+46.984</f>
        <v>47.0</v>
      </c>
      <c r="F36" s="142" t="str">
        <f>0*60+8.586</f>
        <v>8.6</v>
      </c>
      <c r="G36" s="142" t="str">
        <f>0*60+1.856</f>
        <v>1.9</v>
      </c>
      <c r="H36" s="142" t="str">
        <f>0*60+9.49</f>
        <v>9.5</v>
      </c>
      <c r="I36" s="142" t="str">
        <f>0*60+3.566</f>
        <v>3.6</v>
      </c>
      <c r="J36" s="142" t="str">
        <f>0*60+24.796</f>
        <v>24.8</v>
      </c>
      <c r="K36" s="124" t="str">
        <f>0*60+28.02</f>
        <v>28.0</v>
      </c>
      <c r="L36" s="124" t="str">
        <f>6*60+49.777</f>
        <v>409.8</v>
      </c>
      <c r="M36" s="124">
        <v>358.515</v>
      </c>
      <c r="N36" s="124"/>
      <c r="O36" s="124" t="str">
        <f>6*60+14.657</f>
        <v>374.7</v>
      </c>
      <c r="P36" s="124" t="str">
        <f>5*60+45.079</f>
        <v>345.1</v>
      </c>
      <c r="Q36" s="142" t="str">
        <f>5*60+14.23</f>
        <v>314.2</v>
      </c>
      <c r="R36" s="142" t="str">
        <f>7*60+43.769</f>
        <v>463.8</v>
      </c>
      <c r="S36" s="144" t="str">
        <f>6*60+12.832</f>
        <v>372.8</v>
      </c>
      <c r="T36" s="144" t="str">
        <f>6*60+28.04</f>
        <v>388.0</v>
      </c>
      <c r="U36" s="24">
        <v>5.489</v>
      </c>
      <c r="V36" s="43" t="str">
        <f>1*60+42.595</f>
        <v>102.595</v>
      </c>
      <c r="W36" s="43" t="str">
        <f>1*60+43.989</f>
        <v>103.989</v>
      </c>
      <c r="Y36" s="115" t="s">
        <v>208</v>
      </c>
      <c r="Z36" s="143" t="s">
        <v>209</v>
      </c>
      <c r="AA36" s="143" t="s">
        <v>210</v>
      </c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</row>
    <row r="37">
      <c r="A37" s="116" t="s">
        <v>104</v>
      </c>
      <c r="C37" s="53">
        <v>13.0</v>
      </c>
      <c r="D37" s="124" t="str">
        <f>1*60+54.893</f>
        <v>114.9</v>
      </c>
      <c r="E37" s="142" t="str">
        <f>0*60+48.6</f>
        <v>48.6</v>
      </c>
      <c r="F37" s="142" t="str">
        <f>0*60+8.125</f>
        <v>8.1</v>
      </c>
      <c r="G37" s="142" t="str">
        <f t="shared" ref="G37:G38" si="8">0*60+1.906</f>
        <v>1.9</v>
      </c>
      <c r="H37" s="142" t="str">
        <f>0*60+9.661</f>
        <v>9.7</v>
      </c>
      <c r="I37" s="142" t="str">
        <f>0*60+3.537</f>
        <v>3.5</v>
      </c>
      <c r="J37" s="142" t="str">
        <f>0*60+46.242</f>
        <v>46.2</v>
      </c>
      <c r="K37" s="124" t="str">
        <f>0*60+25.441</f>
        <v>25.4</v>
      </c>
      <c r="L37" s="124" t="str">
        <f>6*60+47.729</f>
        <v>407.7</v>
      </c>
      <c r="M37" s="124">
        <v>351.272</v>
      </c>
      <c r="N37" s="124"/>
      <c r="O37" s="124" t="str">
        <f>6*60+19.207</f>
        <v>379.2</v>
      </c>
      <c r="P37" s="124" t="str">
        <f>5*60+46.747</f>
        <v>346.7</v>
      </c>
      <c r="Q37" s="142" t="str">
        <f>5*60+44.48</f>
        <v>344.5</v>
      </c>
      <c r="R37" s="142" t="str">
        <f>7*60+13.478</f>
        <v>433.5</v>
      </c>
      <c r="S37" s="144" t="str">
        <f>5*60+56.512</f>
        <v>356.5</v>
      </c>
      <c r="T37" s="144" t="str">
        <f>6*60+24.874</f>
        <v>384.9</v>
      </c>
      <c r="U37" s="24">
        <v>6.353</v>
      </c>
      <c r="V37" s="43" t="str">
        <f>1*60+44.357</f>
        <v>104.357</v>
      </c>
      <c r="W37" s="43" t="str">
        <f>1*60+45.08</f>
        <v>105.08</v>
      </c>
      <c r="Y37" s="115" t="s">
        <v>211</v>
      </c>
      <c r="Z37" s="143" t="s">
        <v>212</v>
      </c>
      <c r="AA37" s="143" t="s">
        <v>213</v>
      </c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</row>
    <row r="38">
      <c r="A38" s="116" t="s">
        <v>105</v>
      </c>
      <c r="C38" s="53">
        <v>14.0</v>
      </c>
      <c r="D38" s="124" t="str">
        <f>2*60+4.736</f>
        <v>124.7</v>
      </c>
      <c r="E38" s="142" t="str">
        <f>0*60+49.67</f>
        <v>49.7</v>
      </c>
      <c r="F38" s="142" t="str">
        <f>0*60+9.731</f>
        <v>9.7</v>
      </c>
      <c r="G38" s="142" t="str">
        <f t="shared" si="8"/>
        <v>1.9</v>
      </c>
      <c r="H38" s="142" t="str">
        <f>0*60+9.594</f>
        <v>9.6</v>
      </c>
      <c r="I38" s="142" t="str">
        <f>0*60+3.633</f>
        <v>3.6</v>
      </c>
      <c r="J38" s="142" t="str">
        <f>0*60+46.426</f>
        <v>46.4</v>
      </c>
      <c r="K38" s="124" t="str">
        <f>0*60+23.883</f>
        <v>23.9</v>
      </c>
      <c r="L38" s="124" t="str">
        <f>6*60+45.704</f>
        <v>405.7</v>
      </c>
      <c r="M38" s="124">
        <v>352.138</v>
      </c>
      <c r="N38" s="124"/>
      <c r="O38" s="124" t="str">
        <f>6*60+18.355</f>
        <v>378.4</v>
      </c>
      <c r="P38" s="124" t="str">
        <f>5*60+56.33</f>
        <v>356.3</v>
      </c>
      <c r="Q38" s="142" t="str">
        <f>5*60+21.663</f>
        <v>321.7</v>
      </c>
      <c r="R38" s="142" t="str">
        <f>7*60+56.15</f>
        <v>476.2</v>
      </c>
      <c r="S38" s="144" t="str">
        <f>6*60+9.144</f>
        <v>369.1</v>
      </c>
      <c r="T38" s="144" t="str">
        <f>6*60+39.398</f>
        <v>399.4</v>
      </c>
      <c r="U38" s="24">
        <v>3.696</v>
      </c>
      <c r="V38" s="43" t="str">
        <f>1*60+44.695</f>
        <v>104.695</v>
      </c>
      <c r="W38" s="43" t="str">
        <f>1*60+47.633</f>
        <v>107.633</v>
      </c>
      <c r="Y38" s="115" t="s">
        <v>214</v>
      </c>
      <c r="Z38" s="143" t="s">
        <v>215</v>
      </c>
      <c r="AA38" s="143" t="s">
        <v>216</v>
      </c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</row>
    <row r="39">
      <c r="A39" s="116" t="s">
        <v>106</v>
      </c>
      <c r="C39" s="53">
        <v>15.0</v>
      </c>
      <c r="D39" s="124" t="str">
        <f>2*60+1.228</f>
        <v>121.2</v>
      </c>
      <c r="E39" s="142" t="str">
        <f>0*60+50.147</f>
        <v>50.1</v>
      </c>
      <c r="F39" s="142" t="str">
        <f>0*60+9.181</f>
        <v>9.2</v>
      </c>
      <c r="G39" s="142" t="str">
        <f>0*60+1.923</f>
        <v>1.9</v>
      </c>
      <c r="H39" s="142" t="str">
        <f>0*60+10.001</f>
        <v>10.0</v>
      </c>
      <c r="I39" s="142" t="str">
        <f>0*60+3.248</f>
        <v>3.2</v>
      </c>
      <c r="J39" s="142" t="str">
        <f>0*60+45.778</f>
        <v>45.8</v>
      </c>
      <c r="K39" s="124" t="str">
        <f>0*60+24.439</f>
        <v>24.4</v>
      </c>
      <c r="L39" s="124" t="str">
        <f>6*60+45.738</f>
        <v>405.7</v>
      </c>
      <c r="M39" s="124">
        <v>351.263</v>
      </c>
      <c r="N39" s="124"/>
      <c r="O39" s="124" t="str">
        <f>6*60+21.304</f>
        <v>381.3</v>
      </c>
      <c r="P39" s="124" t="str">
        <f>5*60+42.803</f>
        <v>342.8</v>
      </c>
      <c r="Q39" s="142" t="str">
        <f>5*60+43.787</f>
        <v>343.8</v>
      </c>
      <c r="R39" s="142" t="str">
        <f>7*60+36.928</f>
        <v>456.9</v>
      </c>
      <c r="S39" s="144" t="str">
        <f>5*60+21.822</f>
        <v>321.8</v>
      </c>
      <c r="T39" s="144" t="str">
        <f>6*60+50.313</f>
        <v>410.3</v>
      </c>
      <c r="U39" s="24">
        <v>5.008</v>
      </c>
      <c r="V39" s="43" t="str">
        <f>1*60+48.709</f>
        <v>108.709</v>
      </c>
      <c r="W39" s="43" t="str">
        <f>1*60+43.856</f>
        <v>103.856</v>
      </c>
      <c r="Y39" s="115" t="s">
        <v>217</v>
      </c>
      <c r="Z39" s="143" t="s">
        <v>218</v>
      </c>
      <c r="AA39" s="143" t="s">
        <v>219</v>
      </c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</row>
    <row r="40">
      <c r="A40" s="116" t="s">
        <v>107</v>
      </c>
      <c r="C40" s="53">
        <v>16.0</v>
      </c>
      <c r="D40" s="124" t="str">
        <f>2*60+2.125</f>
        <v>122.1</v>
      </c>
      <c r="E40" s="142" t="str">
        <f>0*60+50.088</f>
        <v>50.1</v>
      </c>
      <c r="F40" s="142" t="str">
        <f>0*60+8.559</f>
        <v>8.6</v>
      </c>
      <c r="G40" s="142" t="str">
        <f>0*60+1.826</f>
        <v>1.8</v>
      </c>
      <c r="H40" s="142" t="str">
        <f>0*60+9.531</f>
        <v>9.5</v>
      </c>
      <c r="I40" s="142" t="str">
        <f>0*60+3.351</f>
        <v>3.4</v>
      </c>
      <c r="J40" s="142" t="str">
        <f>0*60+46.888</f>
        <v>46.9</v>
      </c>
      <c r="K40" s="124" t="str">
        <f>0*60+24.585</f>
        <v>24.6</v>
      </c>
      <c r="L40" s="124" t="str">
        <f>6*60+57.648</f>
        <v>417.6</v>
      </c>
      <c r="M40" s="124">
        <v>361.494</v>
      </c>
      <c r="N40" s="124"/>
      <c r="O40" s="124" t="str">
        <f>5*60+55.511</f>
        <v>355.5</v>
      </c>
      <c r="P40" s="124" t="str">
        <f>5*60+48.502</f>
        <v>348.5</v>
      </c>
      <c r="Q40" s="142" t="str">
        <f>5*60+9.759</f>
        <v>309.8</v>
      </c>
      <c r="R40" s="142" t="str">
        <f>8*60+4.018</f>
        <v>484.0</v>
      </c>
      <c r="S40" s="144" t="str">
        <f>6*60+13.632</f>
        <v>373.6</v>
      </c>
      <c r="T40" s="144" t="str">
        <f>6*60+9.373</f>
        <v>369.4</v>
      </c>
      <c r="U40" s="24">
        <v>5.646</v>
      </c>
      <c r="V40" s="43" t="str">
        <f>1*60+53.344</f>
        <v>113.344</v>
      </c>
      <c r="W40" s="43" t="str">
        <f>1*60+47.407</f>
        <v>107.407</v>
      </c>
      <c r="Y40" s="115" t="s">
        <v>220</v>
      </c>
      <c r="Z40" s="143" t="s">
        <v>221</v>
      </c>
      <c r="AA40" s="143" t="s">
        <v>222</v>
      </c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</row>
    <row r="41">
      <c r="A41" s="24" t="s">
        <v>223</v>
      </c>
      <c r="C41" s="58" t="s">
        <v>54</v>
      </c>
      <c r="D41" s="145" t="str">
        <f t="shared" ref="D41:M41" si="9">AVERAGE(D25:D40)</f>
        <v>119.4</v>
      </c>
      <c r="E41" s="145" t="str">
        <f t="shared" si="9"/>
        <v>49.5</v>
      </c>
      <c r="F41" s="145" t="str">
        <f t="shared" si="9"/>
        <v>8.8</v>
      </c>
      <c r="G41" s="145" t="str">
        <f t="shared" si="9"/>
        <v>2.0</v>
      </c>
      <c r="H41" s="145" t="str">
        <f t="shared" si="9"/>
        <v>9.8</v>
      </c>
      <c r="I41" s="145" t="str">
        <f t="shared" si="9"/>
        <v>3.6</v>
      </c>
      <c r="J41" s="145" t="str">
        <f t="shared" si="9"/>
        <v>43.2</v>
      </c>
      <c r="K41" s="145" t="str">
        <f t="shared" si="9"/>
        <v>24.9</v>
      </c>
      <c r="L41" s="145" t="str">
        <f t="shared" si="9"/>
        <v>397.6</v>
      </c>
      <c r="M41" s="146" t="str">
        <f t="shared" si="9"/>
        <v>357.7</v>
      </c>
      <c r="N41" s="145"/>
      <c r="O41" s="145" t="str">
        <f t="shared" ref="O41:W41" si="10">AVERAGE(O25:O40)</f>
        <v>365.4</v>
      </c>
      <c r="P41" s="145" t="str">
        <f t="shared" si="10"/>
        <v>347.9</v>
      </c>
      <c r="Q41" s="145" t="str">
        <f t="shared" si="10"/>
        <v>329.3</v>
      </c>
      <c r="R41" s="145" t="str">
        <f t="shared" si="10"/>
        <v>468.9</v>
      </c>
      <c r="S41" s="145" t="str">
        <f t="shared" si="10"/>
        <v>361.9</v>
      </c>
      <c r="T41" s="145" t="str">
        <f t="shared" si="10"/>
        <v>389.4</v>
      </c>
      <c r="U41" s="147" t="str">
        <f t="shared" si="10"/>
        <v>5.472</v>
      </c>
      <c r="V41" s="147" t="str">
        <f t="shared" si="10"/>
        <v>107.492</v>
      </c>
      <c r="W41" s="147" t="str">
        <f t="shared" si="10"/>
        <v>105.246</v>
      </c>
    </row>
    <row r="42">
      <c r="A42" s="103" t="s">
        <v>48</v>
      </c>
      <c r="B42" s="104" t="str">
        <f t="shared" ref="B42:C42" si="11">10000*16/V41</f>
        <v>1488.480267</v>
      </c>
      <c r="C42" s="104" t="str">
        <f t="shared" si="11"/>
        <v>1520.246898</v>
      </c>
      <c r="D42" s="104" t="str">
        <f t="shared" ref="D42:E42" si="12">10000*1024*16/D41</f>
        <v>1372562.879</v>
      </c>
      <c r="E42" s="104" t="str">
        <f t="shared" si="12"/>
        <v>3309623.188</v>
      </c>
      <c r="F42" s="104" t="str">
        <f t="shared" ref="F42:G42" si="13">1000*16*10240/F41</f>
        <v>18713610.6</v>
      </c>
      <c r="G42" s="104" t="str">
        <f t="shared" si="13"/>
        <v>83371179.59</v>
      </c>
      <c r="H42" s="104" t="str">
        <f t="shared" ref="H42:I42" si="14">1000*16*102400/H41</f>
        <v>166847424.8</v>
      </c>
      <c r="I42" s="104" t="str">
        <f t="shared" si="14"/>
        <v>451902291</v>
      </c>
      <c r="J42" s="104" t="str">
        <f t="shared" ref="J42:K42" si="15">1000*16*1024000/J41</f>
        <v>378824641.3</v>
      </c>
      <c r="K42" s="104" t="str">
        <f t="shared" si="15"/>
        <v>658453083.4</v>
      </c>
      <c r="L42" s="104" t="str">
        <f t="shared" ref="L42:M42" si="16">1000*16*10240000/L41</f>
        <v>412056824.4</v>
      </c>
      <c r="M42" s="104" t="str">
        <f t="shared" si="16"/>
        <v>458068275.8</v>
      </c>
      <c r="N42" s="71"/>
      <c r="O42" s="104" t="str">
        <f t="shared" ref="O42:P42" si="17">100*16*102400000/O41</f>
        <v>448402664.7</v>
      </c>
      <c r="P42" s="104" t="str">
        <f t="shared" si="17"/>
        <v>471004994.8</v>
      </c>
      <c r="Q42" s="104" t="str">
        <f t="shared" ref="Q42:R42" si="18">10*16*1024000000/Q41</f>
        <v>497549774.6</v>
      </c>
      <c r="R42" s="104" t="str">
        <f t="shared" si="18"/>
        <v>349419109.9</v>
      </c>
      <c r="S42" s="104" t="str">
        <f t="shared" ref="S42:T42" si="19">1*16*10240000000/S41</f>
        <v>452701106.5</v>
      </c>
      <c r="T42" s="104" t="str">
        <f t="shared" si="19"/>
        <v>420793771.8</v>
      </c>
      <c r="U42" s="104" t="str">
        <f t="shared" ref="U42:W42" si="20">10000*16/U41</f>
        <v>29239.09816</v>
      </c>
      <c r="V42" s="104" t="str">
        <f t="shared" si="20"/>
        <v>1488.480267</v>
      </c>
      <c r="W42" s="104" t="str">
        <f t="shared" si="20"/>
        <v>1520.246898</v>
      </c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</row>
    <row r="43">
      <c r="A43" s="103" t="s">
        <v>65</v>
      </c>
      <c r="B43" s="71"/>
      <c r="C43" s="71"/>
      <c r="D43" s="104" t="str">
        <f t="shared" ref="D43:M43" si="21">D42/1024/1024</f>
        <v>1.308977966</v>
      </c>
      <c r="E43" s="104" t="str">
        <f t="shared" si="21"/>
        <v>3.156302631</v>
      </c>
      <c r="F43" s="104" t="str">
        <f t="shared" si="21"/>
        <v>17.8466898</v>
      </c>
      <c r="G43" s="104" t="str">
        <f t="shared" si="21"/>
        <v>79.50895271</v>
      </c>
      <c r="H43" s="104" t="str">
        <f t="shared" si="21"/>
        <v>159.1181038</v>
      </c>
      <c r="I43" s="104" t="str">
        <f t="shared" si="21"/>
        <v>430.9676085</v>
      </c>
      <c r="J43" s="104" t="str">
        <f t="shared" si="21"/>
        <v>361.2753308</v>
      </c>
      <c r="K43" s="104" t="str">
        <f t="shared" si="21"/>
        <v>627.9497942</v>
      </c>
      <c r="L43" s="104" t="str">
        <f t="shared" si="21"/>
        <v>392.9680104</v>
      </c>
      <c r="M43" s="104" t="str">
        <f t="shared" si="21"/>
        <v>436.8479498</v>
      </c>
      <c r="N43" s="71"/>
      <c r="O43" s="104" t="str">
        <f t="shared" ref="O43:T43" si="22">O42/1024/1024</f>
        <v>427.6301047</v>
      </c>
      <c r="P43" s="104" t="str">
        <f t="shared" si="22"/>
        <v>449.1853664</v>
      </c>
      <c r="Q43" s="104" t="str">
        <f t="shared" si="22"/>
        <v>474.5004412</v>
      </c>
      <c r="R43" s="104" t="str">
        <f t="shared" si="22"/>
        <v>333.2320308</v>
      </c>
      <c r="S43" s="104" t="str">
        <f t="shared" si="22"/>
        <v>431.7294182</v>
      </c>
      <c r="T43" s="104" t="str">
        <f t="shared" si="22"/>
        <v>401.3002127</v>
      </c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</row>
    <row r="44"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</row>
    <row r="45"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</row>
    <row r="46">
      <c r="A46" s="27"/>
      <c r="C46" s="47" t="s">
        <v>55</v>
      </c>
      <c r="D46" s="122" t="s">
        <v>82</v>
      </c>
      <c r="E46" s="9"/>
      <c r="F46" s="122" t="s">
        <v>83</v>
      </c>
      <c r="G46" s="9"/>
      <c r="H46" s="122" t="s">
        <v>84</v>
      </c>
      <c r="I46" s="9"/>
      <c r="J46" s="122" t="s">
        <v>85</v>
      </c>
      <c r="K46" s="9"/>
      <c r="L46" s="122" t="s">
        <v>86</v>
      </c>
      <c r="M46" s="9"/>
      <c r="N46" s="148"/>
      <c r="O46" s="122" t="s">
        <v>87</v>
      </c>
      <c r="P46" s="9"/>
      <c r="Q46" s="122" t="s">
        <v>88</v>
      </c>
      <c r="R46" s="9"/>
      <c r="S46" s="122" t="s">
        <v>89</v>
      </c>
      <c r="T46" s="9"/>
      <c r="U46" s="111" t="s">
        <v>90</v>
      </c>
      <c r="V46" s="110" t="s">
        <v>91</v>
      </c>
      <c r="W46" s="9"/>
      <c r="X46" s="115"/>
      <c r="Y46" s="115"/>
      <c r="Z46" s="115"/>
    </row>
    <row r="47">
      <c r="A47" s="27"/>
      <c r="C47" s="49" t="s">
        <v>52</v>
      </c>
      <c r="D47" s="122">
        <v>10000.0</v>
      </c>
      <c r="E47" s="9"/>
      <c r="F47" s="122">
        <v>1000.0</v>
      </c>
      <c r="G47" s="9"/>
      <c r="H47" s="122">
        <v>1000.0</v>
      </c>
      <c r="I47" s="9"/>
      <c r="J47" s="122">
        <v>1000.0</v>
      </c>
      <c r="K47" s="9"/>
      <c r="L47" s="122">
        <v>1000.0</v>
      </c>
      <c r="M47" s="9"/>
      <c r="N47" s="148"/>
      <c r="O47" s="122">
        <v>100.0</v>
      </c>
      <c r="P47" s="9"/>
      <c r="Q47" s="122">
        <v>10.0</v>
      </c>
      <c r="R47" s="9"/>
      <c r="S47" s="122">
        <v>1.0</v>
      </c>
      <c r="T47" s="9"/>
      <c r="U47" s="111" t="s">
        <v>93</v>
      </c>
      <c r="V47" s="110">
        <v>10000.0</v>
      </c>
      <c r="W47" s="9"/>
      <c r="X47" s="115"/>
      <c r="Y47" s="115"/>
      <c r="Z47" s="115"/>
    </row>
    <row r="48">
      <c r="A48" s="27"/>
      <c r="C48" s="51" t="s">
        <v>53</v>
      </c>
      <c r="D48" s="124" t="s">
        <v>16</v>
      </c>
      <c r="E48" s="124" t="s">
        <v>0</v>
      </c>
      <c r="F48" s="124" t="s">
        <v>16</v>
      </c>
      <c r="G48" s="124" t="s">
        <v>0</v>
      </c>
      <c r="H48" s="124" t="s">
        <v>16</v>
      </c>
      <c r="I48" s="124" t="s">
        <v>0</v>
      </c>
      <c r="J48" s="124" t="s">
        <v>16</v>
      </c>
      <c r="K48" s="124" t="s">
        <v>0</v>
      </c>
      <c r="L48" s="124" t="s">
        <v>16</v>
      </c>
      <c r="M48" s="124" t="s">
        <v>0</v>
      </c>
      <c r="N48" s="124"/>
      <c r="O48" s="124" t="s">
        <v>16</v>
      </c>
      <c r="P48" s="124" t="s">
        <v>0</v>
      </c>
      <c r="Q48" s="124" t="s">
        <v>16</v>
      </c>
      <c r="R48" s="124" t="s">
        <v>0</v>
      </c>
      <c r="S48" s="124" t="s">
        <v>16</v>
      </c>
      <c r="T48" s="124" t="s">
        <v>0</v>
      </c>
      <c r="U48" s="24" t="s">
        <v>94</v>
      </c>
      <c r="V48" s="43" t="s">
        <v>16</v>
      </c>
      <c r="W48" s="43" t="s">
        <v>0</v>
      </c>
      <c r="Y48" s="115"/>
      <c r="Z48" s="115"/>
    </row>
    <row r="49">
      <c r="A49" s="149" t="s">
        <v>43</v>
      </c>
      <c r="C49" s="53">
        <v>1.0</v>
      </c>
      <c r="D49" s="117">
        <v>730.173</v>
      </c>
      <c r="E49" s="117">
        <v>258.194</v>
      </c>
      <c r="F49" s="117">
        <v>47.471</v>
      </c>
      <c r="G49" s="117">
        <v>14.015</v>
      </c>
      <c r="H49" s="117">
        <v>62.605</v>
      </c>
      <c r="I49" s="117">
        <v>14.645</v>
      </c>
      <c r="J49" s="124">
        <v>53.049</v>
      </c>
      <c r="K49" s="124">
        <v>30.34</v>
      </c>
      <c r="L49" s="124">
        <v>503.842</v>
      </c>
      <c r="M49" s="124">
        <v>248.92</v>
      </c>
      <c r="N49" s="124"/>
      <c r="O49" s="124">
        <v>384.043</v>
      </c>
      <c r="P49" s="124">
        <v>357.911</v>
      </c>
      <c r="Q49" s="117">
        <v>340.003</v>
      </c>
      <c r="R49" s="117">
        <v>465.592</v>
      </c>
      <c r="S49" s="117">
        <v>327.229</v>
      </c>
      <c r="T49" s="117">
        <v>436.844</v>
      </c>
      <c r="U49" s="24">
        <v>31.638</v>
      </c>
      <c r="V49" s="24">
        <v>615.045</v>
      </c>
      <c r="W49" s="24">
        <v>755.597</v>
      </c>
    </row>
    <row r="50">
      <c r="A50" s="149" t="s">
        <v>44</v>
      </c>
      <c r="C50" s="53">
        <v>2.0</v>
      </c>
      <c r="D50" s="117">
        <v>729.53</v>
      </c>
      <c r="E50" s="117">
        <v>255.66</v>
      </c>
      <c r="F50" s="117">
        <v>44.871</v>
      </c>
      <c r="G50" s="117">
        <v>11.794</v>
      </c>
      <c r="H50" s="117">
        <v>63.296</v>
      </c>
      <c r="I50" s="117">
        <v>13.125</v>
      </c>
      <c r="J50" s="124">
        <v>67.081</v>
      </c>
      <c r="K50" s="124">
        <v>31.847</v>
      </c>
      <c r="L50" s="124">
        <v>504.283</v>
      </c>
      <c r="M50" s="124">
        <v>250.124</v>
      </c>
      <c r="N50" s="124"/>
      <c r="O50" s="124">
        <v>386.136</v>
      </c>
      <c r="P50" s="124">
        <v>351.174</v>
      </c>
      <c r="Q50" s="117">
        <v>390.987</v>
      </c>
      <c r="R50" s="117">
        <v>461.691</v>
      </c>
      <c r="S50" s="117">
        <v>375.612</v>
      </c>
      <c r="T50" s="117">
        <v>396.553</v>
      </c>
      <c r="U50" s="24">
        <v>32.546</v>
      </c>
      <c r="V50" s="24">
        <v>635.641</v>
      </c>
      <c r="W50" s="24">
        <v>752.995</v>
      </c>
      <c r="Y50" s="27"/>
      <c r="Z50" s="27"/>
    </row>
    <row r="51">
      <c r="A51" s="149" t="s">
        <v>45</v>
      </c>
      <c r="C51" s="53">
        <v>3.0</v>
      </c>
      <c r="D51" s="117">
        <v>721.407</v>
      </c>
      <c r="E51" s="117">
        <v>258.463</v>
      </c>
      <c r="F51" s="117">
        <v>50.83</v>
      </c>
      <c r="G51" s="117">
        <v>14.064</v>
      </c>
      <c r="H51" s="117">
        <v>61.903</v>
      </c>
      <c r="I51" s="117">
        <v>12.742</v>
      </c>
      <c r="J51" s="124">
        <v>50.898</v>
      </c>
      <c r="K51" s="124">
        <v>31.931</v>
      </c>
      <c r="L51" s="124">
        <v>504.677</v>
      </c>
      <c r="M51" s="124">
        <v>253.228</v>
      </c>
      <c r="N51" s="124"/>
      <c r="O51" s="124">
        <v>388.718</v>
      </c>
      <c r="P51" s="124">
        <v>354.505</v>
      </c>
      <c r="Q51" s="117">
        <v>360.378</v>
      </c>
      <c r="R51" s="117">
        <v>446.923</v>
      </c>
      <c r="S51" s="117">
        <v>328.987</v>
      </c>
      <c r="T51" s="117">
        <v>415.799</v>
      </c>
      <c r="U51" s="24">
        <v>23.729</v>
      </c>
      <c r="V51" s="24">
        <v>636.255</v>
      </c>
      <c r="W51" s="24">
        <v>771.716</v>
      </c>
      <c r="Y51" s="27"/>
      <c r="Z51" s="27"/>
    </row>
    <row r="52">
      <c r="A52" s="149" t="s">
        <v>46</v>
      </c>
      <c r="C52" s="53">
        <v>4.0</v>
      </c>
      <c r="D52" s="117">
        <v>722.45</v>
      </c>
      <c r="E52" s="117">
        <v>253.616</v>
      </c>
      <c r="F52" s="117">
        <v>49.138</v>
      </c>
      <c r="G52" s="117">
        <v>14.736</v>
      </c>
      <c r="H52" s="117">
        <v>62.117</v>
      </c>
      <c r="I52" s="117">
        <v>14.49</v>
      </c>
      <c r="J52" s="124">
        <v>50.207</v>
      </c>
      <c r="K52" s="124">
        <v>29.123</v>
      </c>
      <c r="L52" s="124">
        <v>507.191</v>
      </c>
      <c r="M52" s="124">
        <v>221.342</v>
      </c>
      <c r="N52" s="124"/>
      <c r="O52" s="124">
        <v>383.501</v>
      </c>
      <c r="P52" s="124">
        <v>354.106</v>
      </c>
      <c r="Q52" s="117">
        <v>398.852</v>
      </c>
      <c r="R52" s="117">
        <v>438.758</v>
      </c>
      <c r="S52" s="117">
        <v>333.41</v>
      </c>
      <c r="T52" s="117">
        <v>429.27</v>
      </c>
      <c r="U52" s="24">
        <v>25.168</v>
      </c>
      <c r="V52" s="24">
        <v>638.997</v>
      </c>
      <c r="W52" s="24">
        <v>755.125</v>
      </c>
      <c r="Y52" s="27"/>
      <c r="Z52" s="27"/>
    </row>
    <row r="53">
      <c r="A53" s="149" t="s">
        <v>96</v>
      </c>
      <c r="C53" s="53">
        <v>5.0</v>
      </c>
      <c r="D53" s="117">
        <v>729.524</v>
      </c>
      <c r="E53" s="117">
        <v>259.429</v>
      </c>
      <c r="F53" s="117">
        <v>47.562</v>
      </c>
      <c r="G53" s="117">
        <v>14.245</v>
      </c>
      <c r="H53" s="117">
        <v>60.882</v>
      </c>
      <c r="I53" s="117">
        <v>8.684</v>
      </c>
      <c r="J53" s="124">
        <v>81.77</v>
      </c>
      <c r="K53" s="124">
        <v>29.477</v>
      </c>
      <c r="L53" s="124">
        <v>503.744</v>
      </c>
      <c r="M53" s="124">
        <v>238.784</v>
      </c>
      <c r="N53" s="124"/>
      <c r="O53" s="124">
        <v>383.409</v>
      </c>
      <c r="P53" s="124">
        <v>352.586</v>
      </c>
      <c r="Q53" s="117">
        <v>369.107</v>
      </c>
      <c r="R53" s="117">
        <v>469.963</v>
      </c>
      <c r="S53" s="117">
        <v>405.285</v>
      </c>
      <c r="T53" s="117">
        <v>426.305</v>
      </c>
      <c r="U53" s="24">
        <v>33.014</v>
      </c>
      <c r="V53" s="24">
        <v>639.718</v>
      </c>
      <c r="W53" s="24">
        <v>748.184</v>
      </c>
      <c r="Y53" s="27"/>
      <c r="Z53" s="27"/>
    </row>
    <row r="54">
      <c r="A54" s="149" t="s">
        <v>97</v>
      </c>
      <c r="C54" s="53">
        <v>6.0</v>
      </c>
      <c r="D54" s="117">
        <v>738.101</v>
      </c>
      <c r="E54" s="117">
        <v>257.211</v>
      </c>
      <c r="F54" s="117">
        <v>51.716</v>
      </c>
      <c r="G54" s="117">
        <v>19.082</v>
      </c>
      <c r="H54" s="117">
        <v>60.773</v>
      </c>
      <c r="I54" s="117">
        <v>11.686</v>
      </c>
      <c r="J54" s="124">
        <v>77.18</v>
      </c>
      <c r="K54" s="124">
        <v>27.722</v>
      </c>
      <c r="L54" s="124">
        <v>506.228</v>
      </c>
      <c r="M54" s="124">
        <v>257.199</v>
      </c>
      <c r="N54" s="124"/>
      <c r="O54" s="124">
        <v>382.136</v>
      </c>
      <c r="P54" s="124">
        <v>356.389</v>
      </c>
      <c r="Q54" s="117">
        <v>364.574</v>
      </c>
      <c r="R54" s="117">
        <v>437.293</v>
      </c>
      <c r="S54" s="117">
        <v>404.078</v>
      </c>
      <c r="T54" s="117">
        <v>399.349</v>
      </c>
      <c r="U54" s="24">
        <v>32.13</v>
      </c>
      <c r="V54" s="24">
        <v>639.413</v>
      </c>
      <c r="W54" s="24">
        <v>749.581</v>
      </c>
      <c r="Y54" s="27"/>
      <c r="Z54" s="27"/>
    </row>
    <row r="55">
      <c r="A55" s="149" t="s">
        <v>98</v>
      </c>
      <c r="C55" s="53">
        <v>7.0</v>
      </c>
      <c r="D55" s="117">
        <v>726.196</v>
      </c>
      <c r="E55" s="117">
        <v>258.99</v>
      </c>
      <c r="F55" s="117">
        <v>56.0</v>
      </c>
      <c r="G55" s="117">
        <v>7.544</v>
      </c>
      <c r="H55" s="117">
        <v>58.993</v>
      </c>
      <c r="I55" s="117">
        <v>15.37</v>
      </c>
      <c r="J55" s="124">
        <v>53.472</v>
      </c>
      <c r="K55" s="124">
        <v>26.958</v>
      </c>
      <c r="L55" s="124">
        <v>489.787</v>
      </c>
      <c r="M55" s="124">
        <v>227.919</v>
      </c>
      <c r="N55" s="124"/>
      <c r="O55" s="124">
        <v>383.463</v>
      </c>
      <c r="P55" s="124">
        <v>354.726</v>
      </c>
      <c r="Q55" s="117">
        <v>385.095</v>
      </c>
      <c r="R55" s="117">
        <v>448.06</v>
      </c>
      <c r="S55" s="117">
        <v>297.536</v>
      </c>
      <c r="T55" s="117">
        <v>423.492</v>
      </c>
      <c r="U55" s="24">
        <v>29.254</v>
      </c>
      <c r="V55" s="24">
        <v>640.195</v>
      </c>
      <c r="W55" s="24">
        <v>757.092</v>
      </c>
      <c r="Y55" s="27"/>
      <c r="Z55" s="27"/>
    </row>
    <row r="56">
      <c r="A56" s="149" t="s">
        <v>99</v>
      </c>
      <c r="C56" s="53">
        <v>8.0</v>
      </c>
      <c r="D56" s="117">
        <v>731.539</v>
      </c>
      <c r="E56" s="117">
        <v>256.396</v>
      </c>
      <c r="F56" s="117">
        <v>49.24</v>
      </c>
      <c r="G56" s="117">
        <v>13.121</v>
      </c>
      <c r="H56" s="117">
        <v>62.902</v>
      </c>
      <c r="I56" s="117">
        <v>15.447</v>
      </c>
      <c r="J56" s="124">
        <v>59.153</v>
      </c>
      <c r="K56" s="124">
        <v>30.27</v>
      </c>
      <c r="L56" s="124">
        <v>485.296</v>
      </c>
      <c r="M56" s="124">
        <v>212.12</v>
      </c>
      <c r="N56" s="124"/>
      <c r="O56" s="124">
        <v>358.782</v>
      </c>
      <c r="P56" s="124">
        <v>345.64</v>
      </c>
      <c r="Q56" s="117">
        <v>364.378</v>
      </c>
      <c r="R56" s="117">
        <v>425.665</v>
      </c>
      <c r="S56" s="117">
        <v>367.93</v>
      </c>
      <c r="T56" s="117">
        <v>420.352</v>
      </c>
      <c r="U56" s="24">
        <v>34.055</v>
      </c>
      <c r="V56" s="24">
        <v>641.141</v>
      </c>
      <c r="W56" s="24">
        <v>752.439</v>
      </c>
      <c r="Y56" s="27"/>
      <c r="Z56" s="27"/>
    </row>
    <row r="57">
      <c r="A57" s="149" t="s">
        <v>100</v>
      </c>
      <c r="C57" s="53">
        <v>9.0</v>
      </c>
      <c r="D57" s="117">
        <v>740.723</v>
      </c>
      <c r="E57" s="117">
        <v>253.948</v>
      </c>
      <c r="F57" s="117">
        <v>48.139</v>
      </c>
      <c r="G57" s="117">
        <v>14.179</v>
      </c>
      <c r="H57" s="117">
        <v>60.709</v>
      </c>
      <c r="I57" s="117">
        <v>9.007</v>
      </c>
      <c r="J57" s="124">
        <v>64.836</v>
      </c>
      <c r="K57" s="124">
        <v>29.364</v>
      </c>
      <c r="L57" s="124">
        <v>505.135</v>
      </c>
      <c r="M57" s="124">
        <v>228.472</v>
      </c>
      <c r="N57" s="124"/>
      <c r="O57" s="124">
        <v>359.027</v>
      </c>
      <c r="P57" s="124">
        <v>350.427</v>
      </c>
      <c r="Q57" s="117">
        <v>361.328</v>
      </c>
      <c r="R57" s="117">
        <v>433.676</v>
      </c>
      <c r="S57" s="117">
        <v>319.495</v>
      </c>
      <c r="T57" s="117">
        <v>424.232</v>
      </c>
      <c r="U57" s="24">
        <v>32.561</v>
      </c>
      <c r="V57" s="24">
        <v>644.186</v>
      </c>
      <c r="W57" s="24">
        <v>749.011</v>
      </c>
      <c r="Y57" s="27"/>
      <c r="Z57" s="27"/>
    </row>
    <row r="58">
      <c r="A58" s="149" t="s">
        <v>101</v>
      </c>
      <c r="C58" s="53">
        <v>10.0</v>
      </c>
      <c r="D58" s="117">
        <v>739.966</v>
      </c>
      <c r="E58" s="117">
        <v>258.601</v>
      </c>
      <c r="F58" s="117">
        <v>54.388</v>
      </c>
      <c r="G58" s="117">
        <v>7.064</v>
      </c>
      <c r="H58" s="117">
        <v>60.873</v>
      </c>
      <c r="I58" s="117">
        <v>8.058</v>
      </c>
      <c r="J58" s="124">
        <v>75.713</v>
      </c>
      <c r="K58" s="124">
        <v>25.745</v>
      </c>
      <c r="L58" s="124">
        <v>507.39</v>
      </c>
      <c r="M58" s="124">
        <v>227.564</v>
      </c>
      <c r="N58" s="124"/>
      <c r="O58" s="124">
        <v>381.347</v>
      </c>
      <c r="P58" s="124">
        <v>340.807</v>
      </c>
      <c r="Q58" s="117">
        <v>388.552</v>
      </c>
      <c r="R58" s="117">
        <v>430.797</v>
      </c>
      <c r="S58" s="117">
        <v>378.841</v>
      </c>
      <c r="T58" s="117">
        <v>402.654</v>
      </c>
      <c r="U58" s="24">
        <v>32.472</v>
      </c>
      <c r="V58" s="24">
        <v>645.417</v>
      </c>
      <c r="W58" s="24">
        <v>769.078</v>
      </c>
      <c r="Y58" s="27"/>
      <c r="Z58" s="27"/>
    </row>
    <row r="59">
      <c r="A59" s="149" t="s">
        <v>102</v>
      </c>
      <c r="C59" s="53">
        <v>11.0</v>
      </c>
      <c r="D59" s="117">
        <v>733.398</v>
      </c>
      <c r="E59" s="117">
        <v>258.649</v>
      </c>
      <c r="F59" s="117">
        <v>54.644</v>
      </c>
      <c r="G59" s="117">
        <v>6.655</v>
      </c>
      <c r="H59" s="117">
        <v>63.254</v>
      </c>
      <c r="I59" s="117">
        <v>13.518</v>
      </c>
      <c r="J59" s="124">
        <v>63.425</v>
      </c>
      <c r="K59" s="124">
        <v>26.203</v>
      </c>
      <c r="L59" s="124">
        <v>477.948</v>
      </c>
      <c r="M59" s="124">
        <v>253.944</v>
      </c>
      <c r="N59" s="124"/>
      <c r="O59" s="124">
        <v>382.993</v>
      </c>
      <c r="P59" s="124">
        <v>350.996</v>
      </c>
      <c r="Q59" s="117">
        <v>392.173</v>
      </c>
      <c r="R59" s="117">
        <v>479.607</v>
      </c>
      <c r="S59" s="117">
        <v>331.739</v>
      </c>
      <c r="T59" s="117">
        <v>424.67</v>
      </c>
      <c r="U59" s="24">
        <v>24.678</v>
      </c>
      <c r="V59" s="24">
        <v>644.351</v>
      </c>
      <c r="W59" s="24">
        <v>755.873</v>
      </c>
      <c r="Y59" s="27"/>
      <c r="Z59" s="27"/>
    </row>
    <row r="60">
      <c r="A60" s="149" t="s">
        <v>103</v>
      </c>
      <c r="C60" s="53">
        <v>12.0</v>
      </c>
      <c r="D60" s="117">
        <v>724.409</v>
      </c>
      <c r="E60" s="117">
        <v>251.628</v>
      </c>
      <c r="F60" s="117">
        <v>54.294</v>
      </c>
      <c r="G60" s="117">
        <v>5.923</v>
      </c>
      <c r="H60" s="117">
        <v>63.187</v>
      </c>
      <c r="I60" s="117">
        <v>9.899</v>
      </c>
      <c r="J60" s="124">
        <v>73.496</v>
      </c>
      <c r="K60" s="124">
        <v>25.76</v>
      </c>
      <c r="L60" s="124">
        <v>489.868</v>
      </c>
      <c r="M60" s="124">
        <v>239.242</v>
      </c>
      <c r="N60" s="124"/>
      <c r="O60" s="124">
        <v>382.974</v>
      </c>
      <c r="P60" s="124">
        <v>350.24</v>
      </c>
      <c r="Q60" s="117">
        <v>378.81</v>
      </c>
      <c r="R60" s="117">
        <v>449.679</v>
      </c>
      <c r="S60" s="117">
        <v>331.964</v>
      </c>
      <c r="T60" s="117">
        <v>422.151</v>
      </c>
      <c r="U60" s="24">
        <v>32.134</v>
      </c>
      <c r="V60" s="24">
        <v>648.171</v>
      </c>
      <c r="W60" s="24">
        <v>751.518</v>
      </c>
      <c r="Y60" s="27"/>
      <c r="Z60" s="27"/>
    </row>
    <row r="61">
      <c r="A61" s="149" t="s">
        <v>104</v>
      </c>
      <c r="C61" s="53">
        <v>13.0</v>
      </c>
      <c r="D61" s="117">
        <v>739.93</v>
      </c>
      <c r="E61" s="117">
        <v>253.571</v>
      </c>
      <c r="F61" s="117">
        <v>49.18</v>
      </c>
      <c r="G61" s="117">
        <v>11.817</v>
      </c>
      <c r="H61" s="117">
        <v>59.1</v>
      </c>
      <c r="I61" s="117">
        <v>16.112</v>
      </c>
      <c r="J61" s="124">
        <v>84.438</v>
      </c>
      <c r="K61" s="124">
        <v>28.443</v>
      </c>
      <c r="L61" s="124">
        <v>493.278</v>
      </c>
      <c r="M61" s="124">
        <v>231.095</v>
      </c>
      <c r="N61" s="124"/>
      <c r="O61" s="124">
        <v>382.921</v>
      </c>
      <c r="P61" s="124">
        <v>347.512</v>
      </c>
      <c r="Q61" s="117">
        <v>367.631</v>
      </c>
      <c r="R61" s="117">
        <v>457.522</v>
      </c>
      <c r="S61" s="117">
        <v>344.501</v>
      </c>
      <c r="T61" s="117">
        <v>417.555</v>
      </c>
      <c r="U61" s="24">
        <v>32.105</v>
      </c>
      <c r="V61" s="24">
        <v>648.2</v>
      </c>
      <c r="W61" s="24">
        <v>756.014</v>
      </c>
      <c r="Y61" s="27"/>
      <c r="Z61" s="27"/>
    </row>
    <row r="62">
      <c r="A62" s="149" t="s">
        <v>105</v>
      </c>
      <c r="C62" s="53">
        <v>14.0</v>
      </c>
      <c r="D62" s="117">
        <v>741.533</v>
      </c>
      <c r="E62" s="117">
        <v>257.112</v>
      </c>
      <c r="F62" s="117">
        <v>45.48</v>
      </c>
      <c r="G62" s="117">
        <v>13.852</v>
      </c>
      <c r="H62" s="117">
        <v>60.683</v>
      </c>
      <c r="I62" s="117">
        <v>10.11</v>
      </c>
      <c r="J62" s="124">
        <v>64.67</v>
      </c>
      <c r="K62" s="124">
        <v>27.501</v>
      </c>
      <c r="L62" s="124">
        <v>494.414</v>
      </c>
      <c r="M62" s="124">
        <v>231.659</v>
      </c>
      <c r="N62" s="124"/>
      <c r="O62" s="124">
        <v>385.876</v>
      </c>
      <c r="P62" s="124">
        <v>364.928</v>
      </c>
      <c r="Q62" s="117">
        <v>369.619</v>
      </c>
      <c r="R62" s="117">
        <v>436.007</v>
      </c>
      <c r="S62" s="117">
        <v>325.058</v>
      </c>
      <c r="T62" s="117">
        <v>420.827</v>
      </c>
      <c r="U62" s="24">
        <v>29.362</v>
      </c>
      <c r="V62" s="24">
        <v>649.124</v>
      </c>
      <c r="W62" s="24">
        <v>734.145</v>
      </c>
      <c r="Y62" s="27"/>
      <c r="Z62" s="27"/>
    </row>
    <row r="63">
      <c r="A63" s="149" t="s">
        <v>106</v>
      </c>
      <c r="C63" s="53">
        <v>15.0</v>
      </c>
      <c r="D63" s="117">
        <v>724.413</v>
      </c>
      <c r="E63" s="117">
        <v>257.166</v>
      </c>
      <c r="F63" s="117">
        <v>48.705</v>
      </c>
      <c r="G63" s="117">
        <v>13.908</v>
      </c>
      <c r="H63" s="117">
        <v>62.118</v>
      </c>
      <c r="I63" s="117">
        <v>12.45</v>
      </c>
      <c r="J63" s="124">
        <v>53.702</v>
      </c>
      <c r="K63" s="124">
        <v>27.179</v>
      </c>
      <c r="L63" s="124">
        <v>507.173</v>
      </c>
      <c r="M63" s="124">
        <v>260.331</v>
      </c>
      <c r="N63" s="124"/>
      <c r="O63" s="124">
        <v>388.22</v>
      </c>
      <c r="P63" s="124">
        <v>361.881</v>
      </c>
      <c r="Q63" s="117">
        <v>414.726</v>
      </c>
      <c r="R63" s="117">
        <v>470.436</v>
      </c>
      <c r="S63" s="117">
        <v>360.333</v>
      </c>
      <c r="T63" s="117">
        <v>401.772</v>
      </c>
      <c r="U63" s="24">
        <v>32.712</v>
      </c>
      <c r="V63" s="24">
        <v>648.4</v>
      </c>
      <c r="W63" s="24">
        <v>747.665</v>
      </c>
      <c r="Y63" s="27"/>
      <c r="Z63" s="27"/>
    </row>
    <row r="64">
      <c r="A64" s="149" t="s">
        <v>107</v>
      </c>
      <c r="C64" s="53">
        <v>16.0</v>
      </c>
      <c r="D64" s="117">
        <v>730.456</v>
      </c>
      <c r="E64" s="117">
        <v>256.377</v>
      </c>
      <c r="F64" s="117">
        <v>48.422</v>
      </c>
      <c r="G64" s="117">
        <v>14.179</v>
      </c>
      <c r="H64" s="117">
        <v>63.13</v>
      </c>
      <c r="I64" s="117">
        <v>16.706</v>
      </c>
      <c r="J64" s="124">
        <v>65.37</v>
      </c>
      <c r="K64" s="124">
        <v>33.14</v>
      </c>
      <c r="L64" s="124">
        <v>507.385</v>
      </c>
      <c r="M64" s="124">
        <v>257.423</v>
      </c>
      <c r="N64" s="124"/>
      <c r="O64" s="124">
        <v>386.034</v>
      </c>
      <c r="P64" s="124">
        <v>360.83</v>
      </c>
      <c r="Q64" s="117">
        <v>370.711</v>
      </c>
      <c r="R64" s="117">
        <v>438.23</v>
      </c>
      <c r="S64" s="117">
        <v>360.776</v>
      </c>
      <c r="T64" s="117">
        <v>421.16</v>
      </c>
      <c r="U64" s="24">
        <v>29.026</v>
      </c>
      <c r="V64" s="24">
        <v>649.639</v>
      </c>
      <c r="W64" s="24">
        <v>747.482</v>
      </c>
      <c r="Y64" s="27"/>
      <c r="Z64" s="27"/>
    </row>
    <row r="65">
      <c r="A65" s="149" t="s">
        <v>108</v>
      </c>
      <c r="C65" s="53">
        <v>17.0</v>
      </c>
      <c r="D65" s="117">
        <v>710.271</v>
      </c>
      <c r="E65" s="117">
        <v>258.104</v>
      </c>
      <c r="F65" s="117">
        <v>48.633</v>
      </c>
      <c r="G65" s="117">
        <v>14.693</v>
      </c>
      <c r="H65" s="117">
        <v>49.801</v>
      </c>
      <c r="I65" s="117">
        <v>8.032</v>
      </c>
      <c r="J65" s="124">
        <v>83.698</v>
      </c>
      <c r="K65" s="124">
        <v>26.027</v>
      </c>
      <c r="L65" s="124">
        <v>503.545</v>
      </c>
      <c r="M65" s="124">
        <v>243.695</v>
      </c>
      <c r="N65" s="124"/>
      <c r="O65" s="124">
        <v>382.636</v>
      </c>
      <c r="P65" s="124">
        <v>367.065</v>
      </c>
      <c r="Q65" s="117">
        <v>361.571</v>
      </c>
      <c r="R65" s="117">
        <v>453.799</v>
      </c>
      <c r="S65" s="117">
        <v>398.932</v>
      </c>
      <c r="T65" s="117">
        <v>418.476</v>
      </c>
      <c r="U65" s="24">
        <v>32.412</v>
      </c>
      <c r="V65" s="24">
        <v>649.958</v>
      </c>
      <c r="W65" s="24">
        <v>748.258</v>
      </c>
      <c r="Y65" s="27"/>
      <c r="Z65" s="27"/>
    </row>
    <row r="66">
      <c r="A66" s="149" t="s">
        <v>109</v>
      </c>
      <c r="C66" s="53">
        <v>18.0</v>
      </c>
      <c r="D66" s="117">
        <v>730.403</v>
      </c>
      <c r="E66" s="117">
        <v>258.273</v>
      </c>
      <c r="F66" s="117">
        <v>53.811</v>
      </c>
      <c r="G66" s="117">
        <v>7.617</v>
      </c>
      <c r="H66" s="117">
        <v>59.565</v>
      </c>
      <c r="I66" s="117">
        <v>15.401</v>
      </c>
      <c r="J66" s="124">
        <v>81.259</v>
      </c>
      <c r="K66" s="124">
        <v>30.586</v>
      </c>
      <c r="L66" s="124">
        <v>505.395</v>
      </c>
      <c r="M66" s="124">
        <v>245.825</v>
      </c>
      <c r="N66" s="124"/>
      <c r="O66" s="124">
        <v>385.132</v>
      </c>
      <c r="P66" s="124">
        <v>363.983</v>
      </c>
      <c r="Q66" s="117">
        <v>379.91</v>
      </c>
      <c r="R66" s="117">
        <v>434.37</v>
      </c>
      <c r="S66" s="117">
        <v>403.392</v>
      </c>
      <c r="T66" s="117">
        <v>429.855</v>
      </c>
      <c r="U66" s="24">
        <v>30.63</v>
      </c>
      <c r="V66" s="24">
        <v>651.524</v>
      </c>
      <c r="W66" s="24">
        <v>752.266</v>
      </c>
      <c r="Y66" s="27"/>
      <c r="Z66" s="27"/>
    </row>
    <row r="67">
      <c r="A67" s="149" t="s">
        <v>110</v>
      </c>
      <c r="C67" s="53">
        <v>19.0</v>
      </c>
      <c r="D67" s="117">
        <v>724.948</v>
      </c>
      <c r="E67" s="117">
        <v>257.946</v>
      </c>
      <c r="F67" s="117">
        <v>49.152</v>
      </c>
      <c r="G67" s="117">
        <v>11.716</v>
      </c>
      <c r="H67" s="117">
        <v>60.761</v>
      </c>
      <c r="I67" s="117">
        <v>10.06</v>
      </c>
      <c r="J67" s="124">
        <v>76.904</v>
      </c>
      <c r="K67" s="124">
        <v>28.574</v>
      </c>
      <c r="L67" s="124">
        <v>493.377</v>
      </c>
      <c r="M67" s="124">
        <v>238.249</v>
      </c>
      <c r="N67" s="124"/>
      <c r="O67" s="124">
        <v>383.877</v>
      </c>
      <c r="P67" s="124">
        <v>346.888</v>
      </c>
      <c r="Q67" s="117">
        <v>367.375</v>
      </c>
      <c r="R67" s="117">
        <v>445.021</v>
      </c>
      <c r="S67" s="117">
        <v>323.771</v>
      </c>
      <c r="T67" s="117">
        <v>433.884</v>
      </c>
      <c r="U67" s="24">
        <v>20.71</v>
      </c>
      <c r="V67" s="24">
        <v>652.398</v>
      </c>
      <c r="W67" s="24">
        <v>711.942</v>
      </c>
      <c r="Y67" s="27"/>
      <c r="Z67" s="27"/>
    </row>
    <row r="68">
      <c r="A68" s="149" t="s">
        <v>111</v>
      </c>
      <c r="C68" s="53">
        <v>20.0</v>
      </c>
      <c r="D68" s="117">
        <v>726.836</v>
      </c>
      <c r="E68" s="117">
        <v>256.265</v>
      </c>
      <c r="F68" s="117">
        <v>46.535</v>
      </c>
      <c r="G68" s="117">
        <v>13.887</v>
      </c>
      <c r="H68" s="117">
        <v>61.367</v>
      </c>
      <c r="I68" s="117">
        <v>12.953</v>
      </c>
      <c r="J68" s="124">
        <v>56.151</v>
      </c>
      <c r="K68" s="124">
        <v>29.312</v>
      </c>
      <c r="L68" s="124">
        <v>461.371</v>
      </c>
      <c r="M68" s="124">
        <v>262.565</v>
      </c>
      <c r="N68" s="124"/>
      <c r="O68" s="124">
        <v>386.845</v>
      </c>
      <c r="P68" s="124">
        <v>361.246</v>
      </c>
      <c r="Q68" s="117">
        <v>385.06</v>
      </c>
      <c r="R68" s="117">
        <v>430.708</v>
      </c>
      <c r="S68" s="117">
        <v>424.945</v>
      </c>
      <c r="T68" s="117">
        <v>419.591</v>
      </c>
      <c r="U68" s="24">
        <v>33.732</v>
      </c>
      <c r="V68" s="24">
        <v>651.064</v>
      </c>
      <c r="W68" s="24">
        <v>748.685</v>
      </c>
      <c r="Y68" s="27"/>
      <c r="Z68" s="27"/>
    </row>
    <row r="69">
      <c r="A69" s="149" t="s">
        <v>112</v>
      </c>
      <c r="C69" s="53">
        <v>21.0</v>
      </c>
      <c r="D69" s="117">
        <v>730.464</v>
      </c>
      <c r="E69" s="117">
        <v>258.184</v>
      </c>
      <c r="F69" s="117">
        <v>55.233</v>
      </c>
      <c r="G69" s="117">
        <v>7.625</v>
      </c>
      <c r="H69" s="117">
        <v>62.632</v>
      </c>
      <c r="I69" s="117">
        <v>14.683</v>
      </c>
      <c r="J69" s="124">
        <v>63.171</v>
      </c>
      <c r="K69" s="124">
        <v>28.199</v>
      </c>
      <c r="L69" s="124">
        <v>507.059</v>
      </c>
      <c r="M69" s="124">
        <v>238.602</v>
      </c>
      <c r="N69" s="124"/>
      <c r="O69" s="124">
        <v>380.428</v>
      </c>
      <c r="P69" s="124">
        <v>353.644</v>
      </c>
      <c r="Q69" s="117">
        <v>343.645</v>
      </c>
      <c r="R69" s="117">
        <v>465.247</v>
      </c>
      <c r="S69" s="117">
        <v>377.932</v>
      </c>
      <c r="T69" s="117">
        <v>431.254</v>
      </c>
      <c r="U69" s="24">
        <v>28.39</v>
      </c>
      <c r="V69" s="24">
        <v>651.346</v>
      </c>
      <c r="W69" s="24">
        <v>752.192</v>
      </c>
      <c r="Y69" s="27"/>
      <c r="Z69" s="27"/>
    </row>
    <row r="70">
      <c r="A70" s="149" t="s">
        <v>113</v>
      </c>
      <c r="C70" s="53">
        <v>22.0</v>
      </c>
      <c r="D70" s="117">
        <v>708.098</v>
      </c>
      <c r="E70" s="117">
        <v>257.231</v>
      </c>
      <c r="F70" s="117">
        <v>27.831</v>
      </c>
      <c r="G70" s="117">
        <v>15.672</v>
      </c>
      <c r="H70" s="117">
        <v>63.996</v>
      </c>
      <c r="I70" s="117">
        <v>9.003</v>
      </c>
      <c r="J70" s="124">
        <v>49.94</v>
      </c>
      <c r="K70" s="124">
        <v>29.758</v>
      </c>
      <c r="L70" s="124">
        <v>493.951</v>
      </c>
      <c r="M70" s="124">
        <v>245.62</v>
      </c>
      <c r="N70" s="124"/>
      <c r="O70" s="124">
        <v>382.558</v>
      </c>
      <c r="P70" s="124">
        <v>364.564</v>
      </c>
      <c r="Q70" s="117">
        <v>391.276</v>
      </c>
      <c r="R70" s="117">
        <v>477.135</v>
      </c>
      <c r="S70" s="117">
        <v>405.545</v>
      </c>
      <c r="T70" s="117">
        <v>431.955</v>
      </c>
      <c r="U70" s="24">
        <v>32.482</v>
      </c>
      <c r="V70" s="24">
        <v>652.626</v>
      </c>
      <c r="W70" s="24">
        <v>770.906</v>
      </c>
      <c r="Y70" s="27"/>
      <c r="Z70" s="27"/>
    </row>
    <row r="71">
      <c r="A71" s="149" t="s">
        <v>114</v>
      </c>
      <c r="C71" s="53">
        <v>23.0</v>
      </c>
      <c r="D71" s="117">
        <v>720.56</v>
      </c>
      <c r="E71" s="117">
        <v>257.193</v>
      </c>
      <c r="F71" s="117">
        <v>48.934</v>
      </c>
      <c r="G71" s="117">
        <v>16.013</v>
      </c>
      <c r="H71" s="117">
        <v>63.127</v>
      </c>
      <c r="I71" s="117">
        <v>8.207</v>
      </c>
      <c r="J71" s="124">
        <v>62.644</v>
      </c>
      <c r="K71" s="124">
        <v>25.256</v>
      </c>
      <c r="L71" s="124">
        <v>507.943</v>
      </c>
      <c r="M71" s="124">
        <v>231.744</v>
      </c>
      <c r="N71" s="124"/>
      <c r="O71" s="124">
        <v>384.09</v>
      </c>
      <c r="P71" s="124">
        <v>362.515</v>
      </c>
      <c r="Q71" s="117">
        <v>368.959</v>
      </c>
      <c r="R71" s="117">
        <v>452.556</v>
      </c>
      <c r="S71" s="117">
        <v>314.148</v>
      </c>
      <c r="T71" s="117">
        <v>426.382</v>
      </c>
      <c r="U71" s="24">
        <v>30.585</v>
      </c>
      <c r="V71" s="24">
        <v>650.448</v>
      </c>
      <c r="W71" s="24">
        <v>749.239</v>
      </c>
      <c r="Y71" s="27"/>
      <c r="Z71" s="27"/>
    </row>
    <row r="72">
      <c r="A72" s="149" t="s">
        <v>115</v>
      </c>
      <c r="C72" s="53">
        <v>24.0</v>
      </c>
      <c r="D72" s="117">
        <v>706.397</v>
      </c>
      <c r="E72" s="117">
        <v>258.791</v>
      </c>
      <c r="F72" s="117">
        <v>54.945</v>
      </c>
      <c r="G72" s="117">
        <v>6.959</v>
      </c>
      <c r="H72" s="117">
        <v>59.541</v>
      </c>
      <c r="I72" s="117">
        <v>9.582</v>
      </c>
      <c r="J72" s="124">
        <v>49.065</v>
      </c>
      <c r="K72" s="124">
        <v>29.722</v>
      </c>
      <c r="L72" s="124">
        <v>493.021</v>
      </c>
      <c r="M72" s="124">
        <v>257.426</v>
      </c>
      <c r="N72" s="124"/>
      <c r="O72" s="124">
        <v>388.359</v>
      </c>
      <c r="P72" s="124">
        <v>368.75</v>
      </c>
      <c r="Q72" s="117">
        <v>375.961</v>
      </c>
      <c r="R72" s="117">
        <v>462.43</v>
      </c>
      <c r="S72" s="117">
        <v>353.197</v>
      </c>
      <c r="T72" s="117">
        <v>399.789</v>
      </c>
      <c r="U72" s="24">
        <v>26.367</v>
      </c>
      <c r="V72" s="24">
        <v>652.863</v>
      </c>
      <c r="W72" s="24">
        <v>756.232</v>
      </c>
      <c r="Y72" s="27"/>
      <c r="Z72" s="27"/>
    </row>
    <row r="73">
      <c r="A73" s="149" t="s">
        <v>116</v>
      </c>
      <c r="C73" s="53">
        <v>25.0</v>
      </c>
      <c r="D73" s="117">
        <v>720.491</v>
      </c>
      <c r="E73" s="117">
        <v>258.719</v>
      </c>
      <c r="F73" s="117">
        <v>49.522</v>
      </c>
      <c r="G73" s="117">
        <v>13.196</v>
      </c>
      <c r="H73" s="117">
        <v>61.338</v>
      </c>
      <c r="I73" s="117">
        <v>14.464</v>
      </c>
      <c r="J73" s="124">
        <v>49.445</v>
      </c>
      <c r="K73" s="124">
        <v>29.213</v>
      </c>
      <c r="L73" s="124">
        <v>500.914</v>
      </c>
      <c r="M73" s="124">
        <v>247.895</v>
      </c>
      <c r="N73" s="124"/>
      <c r="O73" s="124">
        <v>381.536</v>
      </c>
      <c r="P73" s="124">
        <v>356.061</v>
      </c>
      <c r="Q73" s="117">
        <v>385.089</v>
      </c>
      <c r="R73" s="117">
        <v>473.479</v>
      </c>
      <c r="S73" s="117">
        <v>328.499</v>
      </c>
      <c r="T73" s="117">
        <v>422.428</v>
      </c>
      <c r="U73" s="24">
        <v>28.242</v>
      </c>
      <c r="V73" s="24">
        <v>651.981</v>
      </c>
      <c r="W73" s="24">
        <v>752.665</v>
      </c>
      <c r="Y73" s="27"/>
      <c r="Z73" s="27"/>
    </row>
    <row r="74">
      <c r="A74" s="149" t="s">
        <v>117</v>
      </c>
      <c r="C74" s="53">
        <v>26.0</v>
      </c>
      <c r="D74" s="117">
        <v>725.289</v>
      </c>
      <c r="E74" s="117">
        <v>251.501</v>
      </c>
      <c r="F74" s="117">
        <v>46.226</v>
      </c>
      <c r="G74" s="117">
        <v>6.726</v>
      </c>
      <c r="H74" s="117">
        <v>63.403</v>
      </c>
      <c r="I74" s="117">
        <v>13.755</v>
      </c>
      <c r="J74" s="124">
        <v>65.914</v>
      </c>
      <c r="K74" s="124">
        <v>27.078</v>
      </c>
      <c r="L74" s="124">
        <v>476.795</v>
      </c>
      <c r="M74" s="124">
        <v>235.976</v>
      </c>
      <c r="N74" s="124"/>
      <c r="O74" s="124">
        <v>383.579</v>
      </c>
      <c r="P74" s="124">
        <v>354.619</v>
      </c>
      <c r="Q74" s="117">
        <v>356.1</v>
      </c>
      <c r="R74" s="117">
        <v>442.53</v>
      </c>
      <c r="S74" s="117">
        <v>315.233</v>
      </c>
      <c r="T74" s="117">
        <v>418.786</v>
      </c>
      <c r="U74" s="24">
        <v>31.558</v>
      </c>
      <c r="V74" s="24">
        <v>652.292</v>
      </c>
      <c r="W74" s="24">
        <v>755.462</v>
      </c>
      <c r="Y74" s="27"/>
      <c r="Z74" s="27"/>
    </row>
    <row r="75">
      <c r="A75" s="149" t="s">
        <v>118</v>
      </c>
      <c r="C75" s="53">
        <v>27.0</v>
      </c>
      <c r="D75" s="117">
        <v>695.186</v>
      </c>
      <c r="E75" s="117">
        <v>255.878</v>
      </c>
      <c r="F75" s="117">
        <v>22.336</v>
      </c>
      <c r="G75" s="117">
        <v>12.975</v>
      </c>
      <c r="H75" s="117">
        <v>59.396</v>
      </c>
      <c r="I75" s="117">
        <v>13.001</v>
      </c>
      <c r="J75" s="124">
        <v>63.33</v>
      </c>
      <c r="K75" s="124">
        <v>30.375</v>
      </c>
      <c r="L75" s="124">
        <v>488.159</v>
      </c>
      <c r="M75" s="124">
        <v>245.666</v>
      </c>
      <c r="N75" s="124"/>
      <c r="O75" s="124">
        <v>383.56</v>
      </c>
      <c r="P75" s="124">
        <v>357.376</v>
      </c>
      <c r="Q75" s="117">
        <v>382.251</v>
      </c>
      <c r="R75" s="117">
        <v>442.219</v>
      </c>
      <c r="S75" s="117">
        <v>396.444</v>
      </c>
      <c r="T75" s="117">
        <v>407.553</v>
      </c>
      <c r="U75" s="24">
        <v>32.776</v>
      </c>
      <c r="V75" s="24">
        <v>652.319</v>
      </c>
      <c r="W75" s="24">
        <v>739.464</v>
      </c>
      <c r="Y75" s="27"/>
      <c r="Z75" s="27"/>
    </row>
    <row r="76">
      <c r="A76" s="149" t="s">
        <v>119</v>
      </c>
      <c r="C76" s="53">
        <v>28.0</v>
      </c>
      <c r="D76" s="117">
        <v>731.87</v>
      </c>
      <c r="E76" s="117">
        <v>259.578</v>
      </c>
      <c r="F76" s="117">
        <v>48.823</v>
      </c>
      <c r="G76" s="117">
        <v>15.77</v>
      </c>
      <c r="H76" s="117">
        <v>63.724</v>
      </c>
      <c r="I76" s="117">
        <v>16.837</v>
      </c>
      <c r="J76" s="124">
        <v>47.236</v>
      </c>
      <c r="K76" s="124">
        <v>28.714</v>
      </c>
      <c r="L76" s="124">
        <v>508.466</v>
      </c>
      <c r="M76" s="124">
        <v>240.791</v>
      </c>
      <c r="N76" s="124"/>
      <c r="O76" s="124">
        <v>383.782</v>
      </c>
      <c r="P76" s="124">
        <v>347.672</v>
      </c>
      <c r="Q76" s="117">
        <v>386.772</v>
      </c>
      <c r="R76" s="117">
        <v>451.925</v>
      </c>
      <c r="S76" s="117">
        <v>333.164</v>
      </c>
      <c r="T76" s="117">
        <v>415.834</v>
      </c>
      <c r="U76" s="24">
        <v>31.542</v>
      </c>
      <c r="V76" s="24">
        <v>652.538</v>
      </c>
      <c r="W76" s="24">
        <v>756.324</v>
      </c>
      <c r="Y76" s="27"/>
      <c r="Z76" s="27"/>
    </row>
    <row r="77">
      <c r="A77" s="149" t="s">
        <v>120</v>
      </c>
      <c r="C77" s="53">
        <v>29.0</v>
      </c>
      <c r="D77" s="117">
        <v>720.446</v>
      </c>
      <c r="E77" s="117">
        <v>257.296</v>
      </c>
      <c r="F77" s="117">
        <v>48.62</v>
      </c>
      <c r="G77" s="117">
        <v>13.785</v>
      </c>
      <c r="H77" s="117">
        <v>61.57</v>
      </c>
      <c r="I77" s="117">
        <v>14.095</v>
      </c>
      <c r="J77" s="124">
        <v>66.027</v>
      </c>
      <c r="K77" s="124">
        <v>27.63</v>
      </c>
      <c r="L77" s="124">
        <v>489.428</v>
      </c>
      <c r="M77" s="124">
        <v>245.468</v>
      </c>
      <c r="N77" s="124"/>
      <c r="O77" s="124">
        <v>382.156</v>
      </c>
      <c r="P77" s="124">
        <v>358.17</v>
      </c>
      <c r="Q77" s="117">
        <v>385.709</v>
      </c>
      <c r="R77" s="117">
        <v>457.84</v>
      </c>
      <c r="S77" s="117">
        <v>381.453</v>
      </c>
      <c r="T77" s="117">
        <v>427.976</v>
      </c>
      <c r="U77" s="24">
        <v>32.486</v>
      </c>
      <c r="V77" s="24">
        <v>651.322</v>
      </c>
      <c r="W77" s="24">
        <v>755.224</v>
      </c>
      <c r="Y77" s="27"/>
      <c r="Z77" s="27"/>
    </row>
    <row r="78">
      <c r="A78" s="149" t="s">
        <v>121</v>
      </c>
      <c r="C78" s="53">
        <v>30.0</v>
      </c>
      <c r="D78" s="117">
        <v>726.12</v>
      </c>
      <c r="E78" s="117">
        <v>258.074</v>
      </c>
      <c r="F78" s="117">
        <v>49.111</v>
      </c>
      <c r="G78" s="117">
        <v>14.017</v>
      </c>
      <c r="H78" s="117">
        <v>62.98</v>
      </c>
      <c r="I78" s="117">
        <v>13.986</v>
      </c>
      <c r="J78" s="124">
        <v>58.694</v>
      </c>
      <c r="K78" s="124">
        <v>29.695</v>
      </c>
      <c r="L78" s="124">
        <v>480.394</v>
      </c>
      <c r="M78" s="124">
        <v>250.454</v>
      </c>
      <c r="N78" s="124"/>
      <c r="O78" s="124">
        <v>382.849</v>
      </c>
      <c r="P78" s="124">
        <v>341.342</v>
      </c>
      <c r="Q78" s="117">
        <v>363.493</v>
      </c>
      <c r="R78" s="117">
        <v>453.47</v>
      </c>
      <c r="S78" s="117">
        <v>341.537</v>
      </c>
      <c r="T78" s="117">
        <v>434.675</v>
      </c>
      <c r="U78" s="24">
        <v>31.258</v>
      </c>
      <c r="V78" s="24">
        <v>653.691</v>
      </c>
      <c r="W78" s="24">
        <v>758.724</v>
      </c>
      <c r="Y78" s="27"/>
      <c r="Z78" s="27"/>
    </row>
    <row r="79">
      <c r="A79" s="149" t="s">
        <v>122</v>
      </c>
      <c r="C79" s="53">
        <v>31.0</v>
      </c>
      <c r="D79" s="117">
        <v>726.633</v>
      </c>
      <c r="E79" s="117">
        <v>258.546</v>
      </c>
      <c r="F79" s="117">
        <v>45.189</v>
      </c>
      <c r="G79" s="117">
        <v>11.43</v>
      </c>
      <c r="H79" s="117">
        <v>62.238</v>
      </c>
      <c r="I79" s="117">
        <v>14.681</v>
      </c>
      <c r="J79" s="124">
        <v>78.021</v>
      </c>
      <c r="K79" s="124">
        <v>31.632</v>
      </c>
      <c r="L79" s="124">
        <v>508.276</v>
      </c>
      <c r="M79" s="124">
        <v>276.503</v>
      </c>
      <c r="N79" s="124"/>
      <c r="O79" s="124">
        <v>399.554</v>
      </c>
      <c r="P79" s="124">
        <v>371.44</v>
      </c>
      <c r="Q79" s="117">
        <v>384.311</v>
      </c>
      <c r="R79" s="117">
        <v>438.539</v>
      </c>
      <c r="S79" s="117">
        <v>356.298</v>
      </c>
      <c r="T79" s="117">
        <v>414.097</v>
      </c>
      <c r="U79" s="24">
        <v>31.396</v>
      </c>
      <c r="V79" s="24">
        <v>652.733</v>
      </c>
      <c r="W79" s="24">
        <v>755.362</v>
      </c>
      <c r="Y79" s="27"/>
      <c r="Z79" s="27"/>
    </row>
    <row r="80">
      <c r="A80" s="149" t="s">
        <v>123</v>
      </c>
      <c r="C80" s="53">
        <v>32.0</v>
      </c>
      <c r="D80" s="117">
        <v>732.353</v>
      </c>
      <c r="E80" s="117">
        <v>254.51</v>
      </c>
      <c r="F80" s="117">
        <v>55.391</v>
      </c>
      <c r="G80" s="117">
        <v>12.095</v>
      </c>
      <c r="H80" s="117">
        <v>63.048</v>
      </c>
      <c r="I80" s="117">
        <v>16.887</v>
      </c>
      <c r="J80" s="124">
        <v>64.229</v>
      </c>
      <c r="K80" s="124">
        <v>31.401</v>
      </c>
      <c r="L80" s="124">
        <v>489.583</v>
      </c>
      <c r="M80" s="124">
        <v>257.993</v>
      </c>
      <c r="N80" s="124"/>
      <c r="O80" s="124">
        <v>384.111</v>
      </c>
      <c r="P80" s="124">
        <v>354.594</v>
      </c>
      <c r="Q80" s="117">
        <v>311.948</v>
      </c>
      <c r="R80" s="117">
        <v>461.378</v>
      </c>
      <c r="S80" s="117">
        <v>305.406</v>
      </c>
      <c r="T80" s="117">
        <v>431.465</v>
      </c>
      <c r="U80" s="24">
        <v>29.798</v>
      </c>
      <c r="V80" s="24">
        <v>654.485</v>
      </c>
      <c r="W80" s="24">
        <v>756.931</v>
      </c>
      <c r="Y80" s="27"/>
      <c r="Z80" s="27"/>
    </row>
    <row r="81">
      <c r="A81" s="149" t="s">
        <v>124</v>
      </c>
      <c r="C81" s="53">
        <v>33.0</v>
      </c>
      <c r="D81" s="117">
        <v>731.004</v>
      </c>
      <c r="E81" s="117">
        <v>257.643</v>
      </c>
      <c r="F81" s="117">
        <v>54.577</v>
      </c>
      <c r="G81" s="117">
        <v>6.56</v>
      </c>
      <c r="H81" s="117">
        <v>63.865</v>
      </c>
      <c r="I81" s="117">
        <v>14.46</v>
      </c>
      <c r="J81" s="124">
        <v>55.533</v>
      </c>
      <c r="K81" s="124">
        <v>26.641</v>
      </c>
      <c r="L81" s="124">
        <v>508.456</v>
      </c>
      <c r="M81" s="124">
        <v>225.323</v>
      </c>
      <c r="N81" s="124"/>
      <c r="O81" s="124">
        <v>384.284</v>
      </c>
      <c r="P81" s="124">
        <v>351.338</v>
      </c>
      <c r="Q81" s="117">
        <v>342.631</v>
      </c>
      <c r="R81" s="117">
        <v>479.01</v>
      </c>
      <c r="S81" s="117">
        <v>393.144</v>
      </c>
      <c r="T81" s="117">
        <v>423.173</v>
      </c>
      <c r="U81" s="24">
        <v>25.099</v>
      </c>
      <c r="V81" s="24">
        <v>658.598</v>
      </c>
      <c r="W81" s="24">
        <v>757.246</v>
      </c>
      <c r="Y81" s="27"/>
      <c r="Z81" s="27"/>
    </row>
    <row r="82">
      <c r="A82" s="149" t="s">
        <v>125</v>
      </c>
      <c r="C82" s="53">
        <v>34.0</v>
      </c>
      <c r="D82" s="117">
        <v>729.633</v>
      </c>
      <c r="E82" s="117">
        <v>255.124</v>
      </c>
      <c r="F82" s="117">
        <v>49.176</v>
      </c>
      <c r="G82" s="117">
        <v>16.28</v>
      </c>
      <c r="H82" s="117">
        <v>63.127</v>
      </c>
      <c r="I82" s="117">
        <v>13.532</v>
      </c>
      <c r="J82" s="124">
        <v>75.164</v>
      </c>
      <c r="K82" s="124">
        <v>30.989</v>
      </c>
      <c r="L82" s="124">
        <v>489.094</v>
      </c>
      <c r="M82" s="124">
        <v>237.98</v>
      </c>
      <c r="N82" s="124"/>
      <c r="O82" s="124">
        <v>379.352</v>
      </c>
      <c r="P82" s="124">
        <v>345.927</v>
      </c>
      <c r="Q82" s="117">
        <v>366.178</v>
      </c>
      <c r="R82" s="117">
        <v>484.112</v>
      </c>
      <c r="S82" s="117">
        <v>391.319</v>
      </c>
      <c r="T82" s="117">
        <v>423.215</v>
      </c>
      <c r="U82" s="24">
        <v>33.188</v>
      </c>
      <c r="V82" s="24">
        <v>660.73</v>
      </c>
      <c r="W82" s="24">
        <v>756.297</v>
      </c>
      <c r="Y82" s="27"/>
      <c r="Z82" s="27"/>
    </row>
    <row r="83">
      <c r="A83" s="149" t="s">
        <v>126</v>
      </c>
      <c r="C83" s="53">
        <v>35.0</v>
      </c>
      <c r="D83" s="117">
        <v>742.194</v>
      </c>
      <c r="E83" s="117">
        <v>258.406</v>
      </c>
      <c r="F83" s="117">
        <v>52.118</v>
      </c>
      <c r="G83" s="117">
        <v>6.381</v>
      </c>
      <c r="H83" s="117">
        <v>63.282</v>
      </c>
      <c r="I83" s="117">
        <v>9.847</v>
      </c>
      <c r="J83" s="124">
        <v>48.527</v>
      </c>
      <c r="K83" s="124">
        <v>27.674</v>
      </c>
      <c r="L83" s="124">
        <v>502.147</v>
      </c>
      <c r="M83" s="124">
        <v>237.556</v>
      </c>
      <c r="N83" s="124"/>
      <c r="O83" s="124">
        <v>359.402</v>
      </c>
      <c r="P83" s="124">
        <v>361.789</v>
      </c>
      <c r="Q83" s="117">
        <v>368.595</v>
      </c>
      <c r="R83" s="117">
        <v>459.062</v>
      </c>
      <c r="S83" s="117">
        <v>328.123</v>
      </c>
      <c r="T83" s="117">
        <v>424.648</v>
      </c>
      <c r="U83" s="24">
        <v>28.856</v>
      </c>
      <c r="V83" s="24">
        <v>660.383</v>
      </c>
      <c r="W83" s="24">
        <v>756.624</v>
      </c>
      <c r="Y83" s="27"/>
      <c r="Z83" s="27"/>
    </row>
    <row r="84">
      <c r="A84" s="149" t="s">
        <v>127</v>
      </c>
      <c r="C84" s="53">
        <v>36.0</v>
      </c>
      <c r="D84" s="117">
        <v>732.643</v>
      </c>
      <c r="E84" s="117">
        <v>254.38</v>
      </c>
      <c r="F84" s="117">
        <v>49.22</v>
      </c>
      <c r="G84" s="117">
        <v>15.593</v>
      </c>
      <c r="H84" s="117">
        <v>61.355</v>
      </c>
      <c r="I84" s="117">
        <v>8.732</v>
      </c>
      <c r="J84" s="124">
        <v>65.669</v>
      </c>
      <c r="K84" s="124">
        <v>28.648</v>
      </c>
      <c r="L84" s="124">
        <v>490.207</v>
      </c>
      <c r="M84" s="124">
        <v>247.522</v>
      </c>
      <c r="N84" s="124"/>
      <c r="O84" s="124">
        <v>382.128</v>
      </c>
      <c r="P84" s="124">
        <v>353.544</v>
      </c>
      <c r="Q84" s="117">
        <v>364.481</v>
      </c>
      <c r="R84" s="117">
        <v>446.161</v>
      </c>
      <c r="S84" s="117">
        <v>336.159</v>
      </c>
      <c r="T84" s="117">
        <v>418.731</v>
      </c>
      <c r="U84" s="24">
        <v>16.116</v>
      </c>
      <c r="V84" s="24">
        <v>659.933</v>
      </c>
      <c r="W84" s="24">
        <v>753.304</v>
      </c>
      <c r="Y84" s="27"/>
      <c r="Z84" s="27"/>
    </row>
    <row r="85">
      <c r="A85" s="149" t="s">
        <v>128</v>
      </c>
      <c r="C85" s="53">
        <v>37.0</v>
      </c>
      <c r="D85" s="117">
        <v>726.586</v>
      </c>
      <c r="E85" s="117">
        <v>249.852</v>
      </c>
      <c r="F85" s="117">
        <v>53.349</v>
      </c>
      <c r="G85" s="117">
        <v>11.922</v>
      </c>
      <c r="H85" s="117">
        <v>61.156</v>
      </c>
      <c r="I85" s="117">
        <v>8.38</v>
      </c>
      <c r="J85" s="124">
        <v>65.211</v>
      </c>
      <c r="K85" s="124">
        <v>27.457</v>
      </c>
      <c r="L85" s="124">
        <v>502.273</v>
      </c>
      <c r="M85" s="124">
        <v>254.855</v>
      </c>
      <c r="N85" s="124"/>
      <c r="O85" s="124">
        <v>387.66</v>
      </c>
      <c r="P85" s="124">
        <v>360.426</v>
      </c>
      <c r="Q85" s="117">
        <v>356.016</v>
      </c>
      <c r="R85" s="117">
        <v>444.671</v>
      </c>
      <c r="S85" s="117">
        <v>379.635</v>
      </c>
      <c r="T85" s="117">
        <v>423.053</v>
      </c>
      <c r="U85" s="24">
        <v>31.724</v>
      </c>
      <c r="V85" s="24">
        <v>658.756</v>
      </c>
      <c r="W85" s="24">
        <v>756.944</v>
      </c>
      <c r="Y85" s="27"/>
      <c r="Z85" s="27"/>
    </row>
    <row r="86">
      <c r="A86" s="149" t="s">
        <v>129</v>
      </c>
      <c r="C86" s="53">
        <v>38.0</v>
      </c>
      <c r="D86" s="117">
        <v>741.331</v>
      </c>
      <c r="E86" s="117">
        <v>249.099</v>
      </c>
      <c r="F86" s="117">
        <v>52.895</v>
      </c>
      <c r="G86" s="117">
        <v>6.472</v>
      </c>
      <c r="H86" s="117">
        <v>59.293</v>
      </c>
      <c r="I86" s="117">
        <v>13.325</v>
      </c>
      <c r="J86" s="124">
        <v>83.965</v>
      </c>
      <c r="K86" s="124">
        <v>27.869</v>
      </c>
      <c r="L86" s="124">
        <v>503.393</v>
      </c>
      <c r="M86" s="124">
        <v>240.638</v>
      </c>
      <c r="N86" s="124"/>
      <c r="O86" s="124">
        <v>383.635</v>
      </c>
      <c r="P86" s="124">
        <v>350.461</v>
      </c>
      <c r="Q86" s="117">
        <v>361.273</v>
      </c>
      <c r="R86" s="117">
        <v>450.129</v>
      </c>
      <c r="S86" s="117">
        <v>334.577</v>
      </c>
      <c r="T86" s="117">
        <v>400.089</v>
      </c>
      <c r="U86" s="24">
        <v>31.65</v>
      </c>
      <c r="V86" s="24">
        <v>660.734</v>
      </c>
      <c r="W86" s="24">
        <v>752.451</v>
      </c>
      <c r="Y86" s="27"/>
      <c r="Z86" s="27"/>
    </row>
    <row r="87">
      <c r="A87" s="149" t="s">
        <v>130</v>
      </c>
      <c r="C87" s="53">
        <v>39.0</v>
      </c>
      <c r="D87" s="117">
        <v>721.055</v>
      </c>
      <c r="E87" s="117">
        <v>250.25</v>
      </c>
      <c r="F87" s="117">
        <v>54.775</v>
      </c>
      <c r="G87" s="117">
        <v>13.851</v>
      </c>
      <c r="H87" s="117">
        <v>59.575</v>
      </c>
      <c r="I87" s="117">
        <v>10.287</v>
      </c>
      <c r="J87" s="124">
        <v>78.49</v>
      </c>
      <c r="K87" s="124">
        <v>31.57</v>
      </c>
      <c r="L87" s="124">
        <v>494.119</v>
      </c>
      <c r="M87" s="124">
        <v>252.011</v>
      </c>
      <c r="N87" s="124"/>
      <c r="O87" s="124">
        <v>385.209</v>
      </c>
      <c r="P87" s="124">
        <v>351.724</v>
      </c>
      <c r="Q87" s="117">
        <v>364.637</v>
      </c>
      <c r="R87" s="117">
        <v>460.707</v>
      </c>
      <c r="S87" s="117">
        <v>430.892</v>
      </c>
      <c r="T87" s="117">
        <v>331.522</v>
      </c>
      <c r="U87" s="24">
        <v>32.853</v>
      </c>
      <c r="V87" s="24">
        <v>658.782</v>
      </c>
      <c r="W87" s="24">
        <v>756.289</v>
      </c>
      <c r="Y87" s="27"/>
      <c r="Z87" s="27"/>
    </row>
    <row r="88">
      <c r="A88" s="149" t="s">
        <v>131</v>
      </c>
      <c r="C88" s="53">
        <v>40.0</v>
      </c>
      <c r="D88" s="117">
        <v>706.425</v>
      </c>
      <c r="E88" s="117">
        <v>257.626</v>
      </c>
      <c r="F88" s="117">
        <v>45.253</v>
      </c>
      <c r="G88" s="117">
        <v>11.398</v>
      </c>
      <c r="H88" s="117">
        <v>63.034</v>
      </c>
      <c r="I88" s="117">
        <v>8.149</v>
      </c>
      <c r="J88" s="124">
        <v>49.132</v>
      </c>
      <c r="K88" s="124">
        <v>28.305</v>
      </c>
      <c r="L88" s="124">
        <v>491.159</v>
      </c>
      <c r="M88" s="124">
        <v>229.048</v>
      </c>
      <c r="N88" s="124"/>
      <c r="O88" s="124">
        <v>382.645</v>
      </c>
      <c r="P88" s="124">
        <v>353.903</v>
      </c>
      <c r="Q88" s="117">
        <v>343.091</v>
      </c>
      <c r="R88" s="117">
        <v>457.614</v>
      </c>
      <c r="S88" s="117">
        <v>434.58</v>
      </c>
      <c r="T88" s="117">
        <v>343.091</v>
      </c>
      <c r="U88" s="24">
        <v>28.643</v>
      </c>
      <c r="V88" s="24">
        <v>657.865</v>
      </c>
      <c r="W88" s="24">
        <v>747.589</v>
      </c>
      <c r="Y88" s="27"/>
      <c r="Z88" s="27"/>
    </row>
    <row r="89">
      <c r="A89" s="149" t="s">
        <v>132</v>
      </c>
      <c r="C89" s="53">
        <v>41.0</v>
      </c>
      <c r="D89" s="117">
        <v>726.735</v>
      </c>
      <c r="E89" s="117">
        <v>257.545</v>
      </c>
      <c r="F89" s="117">
        <v>32.422</v>
      </c>
      <c r="G89" s="117">
        <v>11.02</v>
      </c>
      <c r="H89" s="117">
        <v>60.082</v>
      </c>
      <c r="I89" s="117">
        <v>13.937</v>
      </c>
      <c r="J89" s="124">
        <v>78.089</v>
      </c>
      <c r="K89" s="124">
        <v>32.75</v>
      </c>
      <c r="L89" s="124">
        <v>501.487</v>
      </c>
      <c r="M89" s="124">
        <v>241.467</v>
      </c>
      <c r="N89" s="124"/>
      <c r="O89" s="124">
        <v>382.467</v>
      </c>
      <c r="P89" s="124">
        <v>349.808</v>
      </c>
      <c r="Q89" s="117">
        <v>341.477</v>
      </c>
      <c r="R89" s="117">
        <v>466.206</v>
      </c>
      <c r="S89" s="117">
        <v>323.169</v>
      </c>
      <c r="T89" s="117">
        <v>441.825</v>
      </c>
      <c r="U89" s="24">
        <v>29.6</v>
      </c>
      <c r="V89" s="24">
        <v>661.514</v>
      </c>
      <c r="W89" s="24">
        <v>756.308</v>
      </c>
      <c r="Y89" s="27"/>
      <c r="Z89" s="27"/>
    </row>
    <row r="90">
      <c r="A90" s="149" t="s">
        <v>133</v>
      </c>
      <c r="C90" s="53">
        <v>42.0</v>
      </c>
      <c r="D90" s="117">
        <v>729.904</v>
      </c>
      <c r="E90" s="117">
        <v>259.167</v>
      </c>
      <c r="F90" s="117">
        <v>48.549</v>
      </c>
      <c r="G90" s="117">
        <v>14.33</v>
      </c>
      <c r="H90" s="117">
        <v>60.792</v>
      </c>
      <c r="I90" s="117">
        <v>10.275</v>
      </c>
      <c r="J90" s="124">
        <v>78.711</v>
      </c>
      <c r="K90" s="124">
        <v>29.515</v>
      </c>
      <c r="L90" s="124">
        <v>479.05</v>
      </c>
      <c r="M90" s="124">
        <v>228.396</v>
      </c>
      <c r="N90" s="124"/>
      <c r="O90" s="124">
        <v>382.918</v>
      </c>
      <c r="P90" s="124">
        <v>352.616</v>
      </c>
      <c r="Q90" s="117">
        <v>383.645</v>
      </c>
      <c r="R90" s="117">
        <v>425.937</v>
      </c>
      <c r="S90" s="117">
        <v>319.948</v>
      </c>
      <c r="T90" s="117">
        <v>407.991</v>
      </c>
      <c r="U90" s="24">
        <v>15.327</v>
      </c>
      <c r="V90" s="24">
        <v>661.404</v>
      </c>
      <c r="W90" s="24">
        <v>748.07</v>
      </c>
      <c r="Y90" s="27"/>
      <c r="Z90" s="27"/>
    </row>
    <row r="91">
      <c r="A91" s="149" t="s">
        <v>134</v>
      </c>
      <c r="C91" s="53">
        <v>43.0</v>
      </c>
      <c r="D91" s="117">
        <v>731.663</v>
      </c>
      <c r="E91" s="117">
        <v>259.766</v>
      </c>
      <c r="F91" s="117">
        <v>55.264</v>
      </c>
      <c r="G91" s="117">
        <v>7.421</v>
      </c>
      <c r="H91" s="117">
        <v>60.99</v>
      </c>
      <c r="I91" s="117">
        <v>14.809</v>
      </c>
      <c r="J91" s="124">
        <v>67.361</v>
      </c>
      <c r="K91" s="124">
        <v>27.366</v>
      </c>
      <c r="L91" s="124">
        <v>504.511</v>
      </c>
      <c r="M91" s="124">
        <v>254.646</v>
      </c>
      <c r="N91" s="124"/>
      <c r="O91" s="124">
        <v>385.385</v>
      </c>
      <c r="P91" s="124">
        <v>350.352</v>
      </c>
      <c r="Q91" s="117">
        <v>369.453</v>
      </c>
      <c r="R91" s="117">
        <v>455.666</v>
      </c>
      <c r="S91" s="117">
        <v>347.468</v>
      </c>
      <c r="T91" s="117">
        <v>410.693</v>
      </c>
      <c r="U91" s="24">
        <v>29.465</v>
      </c>
      <c r="V91" s="24">
        <v>661.615</v>
      </c>
      <c r="W91" s="24">
        <v>748.586</v>
      </c>
      <c r="Y91" s="27"/>
      <c r="Z91" s="27"/>
    </row>
    <row r="92">
      <c r="A92" s="149" t="s">
        <v>135</v>
      </c>
      <c r="C92" s="53">
        <v>44.0</v>
      </c>
      <c r="D92" s="117">
        <v>725.241</v>
      </c>
      <c r="E92" s="117">
        <v>250.019</v>
      </c>
      <c r="F92" s="117">
        <v>49.052</v>
      </c>
      <c r="G92" s="117">
        <v>14.116</v>
      </c>
      <c r="H92" s="117">
        <v>63.536</v>
      </c>
      <c r="I92" s="117">
        <v>14.144</v>
      </c>
      <c r="J92" s="124">
        <v>84.212</v>
      </c>
      <c r="K92" s="124">
        <v>31.625</v>
      </c>
      <c r="L92" s="124">
        <v>503.47</v>
      </c>
      <c r="M92" s="124">
        <v>255.698</v>
      </c>
      <c r="N92" s="124"/>
      <c r="O92" s="124">
        <v>385.913</v>
      </c>
      <c r="P92" s="124">
        <v>352.943</v>
      </c>
      <c r="Q92" s="117">
        <v>407.895</v>
      </c>
      <c r="R92" s="117">
        <v>427.661</v>
      </c>
      <c r="S92" s="117">
        <v>345.713</v>
      </c>
      <c r="T92" s="117">
        <v>424.442</v>
      </c>
      <c r="U92" s="24">
        <v>32.344</v>
      </c>
      <c r="V92" s="24">
        <v>658.232</v>
      </c>
      <c r="W92" s="24">
        <v>737.914</v>
      </c>
      <c r="Y92" s="27"/>
      <c r="Z92" s="27"/>
    </row>
    <row r="93">
      <c r="A93" s="149" t="s">
        <v>136</v>
      </c>
      <c r="C93" s="53">
        <v>45.0</v>
      </c>
      <c r="D93" s="117">
        <v>720.302</v>
      </c>
      <c r="E93" s="117">
        <v>256.881</v>
      </c>
      <c r="F93" s="117">
        <v>50.733</v>
      </c>
      <c r="G93" s="117">
        <v>13.035</v>
      </c>
      <c r="H93" s="117">
        <v>62.432</v>
      </c>
      <c r="I93" s="117">
        <v>14.837</v>
      </c>
      <c r="J93" s="124">
        <v>53.809</v>
      </c>
      <c r="K93" s="124">
        <v>29.008</v>
      </c>
      <c r="L93" s="124">
        <v>509.495</v>
      </c>
      <c r="M93" s="124">
        <v>258.293</v>
      </c>
      <c r="N93" s="124"/>
      <c r="O93" s="124">
        <v>384.998</v>
      </c>
      <c r="P93" s="124">
        <v>358.702</v>
      </c>
      <c r="Q93" s="117">
        <v>388.617</v>
      </c>
      <c r="R93" s="117">
        <v>465.606</v>
      </c>
      <c r="S93" s="117">
        <v>340.206</v>
      </c>
      <c r="T93" s="117">
        <v>430.982</v>
      </c>
      <c r="U93" s="24">
        <v>31.744</v>
      </c>
      <c r="V93" s="24">
        <v>659.316</v>
      </c>
      <c r="W93" s="24">
        <v>755.444</v>
      </c>
      <c r="Y93" s="27"/>
      <c r="Z93" s="27"/>
    </row>
    <row r="94">
      <c r="A94" s="149" t="s">
        <v>137</v>
      </c>
      <c r="C94" s="53">
        <v>46.0</v>
      </c>
      <c r="D94" s="117">
        <v>722.294</v>
      </c>
      <c r="E94" s="117">
        <v>256.602</v>
      </c>
      <c r="F94" s="117">
        <v>49.331</v>
      </c>
      <c r="G94" s="117">
        <v>16.459</v>
      </c>
      <c r="H94" s="117">
        <v>61.127</v>
      </c>
      <c r="I94" s="117">
        <v>8.756</v>
      </c>
      <c r="J94" s="124">
        <v>82.933</v>
      </c>
      <c r="K94" s="124">
        <v>28.694</v>
      </c>
      <c r="L94" s="124">
        <v>478.708</v>
      </c>
      <c r="M94" s="124">
        <v>248.832</v>
      </c>
      <c r="N94" s="124"/>
      <c r="O94" s="124">
        <v>384.26</v>
      </c>
      <c r="P94" s="124">
        <v>344.24</v>
      </c>
      <c r="Q94" s="117">
        <v>357.811</v>
      </c>
      <c r="R94" s="117">
        <v>470.897</v>
      </c>
      <c r="S94" s="117">
        <v>324.445</v>
      </c>
      <c r="T94" s="117">
        <v>422.888</v>
      </c>
      <c r="U94" s="24">
        <v>31.637</v>
      </c>
      <c r="V94" s="24">
        <v>658.815</v>
      </c>
      <c r="W94" s="24">
        <v>756.512</v>
      </c>
      <c r="Y94" s="27"/>
      <c r="Z94" s="27"/>
    </row>
    <row r="95">
      <c r="A95" s="149" t="s">
        <v>138</v>
      </c>
      <c r="C95" s="53">
        <v>47.0</v>
      </c>
      <c r="D95" s="117">
        <v>719.246</v>
      </c>
      <c r="E95" s="117">
        <v>258.761</v>
      </c>
      <c r="F95" s="117">
        <v>49.184</v>
      </c>
      <c r="G95" s="117">
        <v>6.612</v>
      </c>
      <c r="H95" s="117">
        <v>63.732</v>
      </c>
      <c r="I95" s="117">
        <v>16.836</v>
      </c>
      <c r="J95" s="124">
        <v>75.287</v>
      </c>
      <c r="K95" s="124">
        <v>29.398</v>
      </c>
      <c r="L95" s="124">
        <v>491.786</v>
      </c>
      <c r="M95" s="124">
        <v>249.512</v>
      </c>
      <c r="N95" s="124"/>
      <c r="O95" s="124">
        <v>384.621</v>
      </c>
      <c r="P95" s="124">
        <v>342.56</v>
      </c>
      <c r="Q95" s="117">
        <v>401.161</v>
      </c>
      <c r="R95" s="117">
        <v>441.176</v>
      </c>
      <c r="S95" s="117">
        <v>417.406</v>
      </c>
      <c r="T95" s="117">
        <v>438.236</v>
      </c>
      <c r="U95" s="24">
        <v>31.898</v>
      </c>
      <c r="V95" s="24">
        <v>660.396</v>
      </c>
      <c r="W95" s="24">
        <v>749.204</v>
      </c>
      <c r="Y95" s="27"/>
      <c r="Z95" s="27"/>
    </row>
    <row r="96">
      <c r="A96" s="149" t="s">
        <v>139</v>
      </c>
      <c r="C96" s="53">
        <v>48.0</v>
      </c>
      <c r="D96" s="117">
        <v>724.259</v>
      </c>
      <c r="E96" s="117">
        <v>257.201</v>
      </c>
      <c r="F96" s="117">
        <v>48.01</v>
      </c>
      <c r="G96" s="117">
        <v>6.017</v>
      </c>
      <c r="H96" s="117">
        <v>61.249</v>
      </c>
      <c r="I96" s="117">
        <v>12.934</v>
      </c>
      <c r="J96" s="124">
        <v>47.061</v>
      </c>
      <c r="K96" s="124">
        <v>29.814</v>
      </c>
      <c r="L96" s="124">
        <v>505.923</v>
      </c>
      <c r="M96" s="124">
        <v>262.053</v>
      </c>
      <c r="N96" s="124"/>
      <c r="O96" s="124">
        <v>387.802</v>
      </c>
      <c r="P96" s="124">
        <v>355.549</v>
      </c>
      <c r="Q96" s="117">
        <v>381.055</v>
      </c>
      <c r="R96" s="117">
        <v>453.539</v>
      </c>
      <c r="S96" s="117">
        <v>361.833</v>
      </c>
      <c r="T96" s="117">
        <v>422.931</v>
      </c>
      <c r="U96" s="24">
        <v>32.428</v>
      </c>
      <c r="V96" s="24">
        <v>657.042</v>
      </c>
      <c r="W96" s="24">
        <v>761.029</v>
      </c>
      <c r="Y96" s="27"/>
      <c r="Z96" s="27"/>
    </row>
    <row r="97">
      <c r="A97" s="149" t="s">
        <v>140</v>
      </c>
      <c r="C97" s="53">
        <v>49.0</v>
      </c>
      <c r="D97" s="117">
        <v>727.808</v>
      </c>
      <c r="E97" s="117">
        <v>253.615</v>
      </c>
      <c r="F97" s="117">
        <v>54.414</v>
      </c>
      <c r="G97" s="117">
        <v>11.222</v>
      </c>
      <c r="H97" s="117">
        <v>63.326</v>
      </c>
      <c r="I97" s="117">
        <v>16.331</v>
      </c>
      <c r="J97" s="124">
        <v>50.275</v>
      </c>
      <c r="K97" s="124">
        <v>32.447</v>
      </c>
      <c r="L97" s="124">
        <v>504.815</v>
      </c>
      <c r="M97" s="124">
        <v>248.546</v>
      </c>
      <c r="N97" s="124"/>
      <c r="O97" s="124">
        <v>384.207</v>
      </c>
      <c r="P97" s="124">
        <v>359.132</v>
      </c>
      <c r="Q97" s="117">
        <v>395.944</v>
      </c>
      <c r="R97" s="117">
        <v>475.996</v>
      </c>
      <c r="S97" s="117">
        <v>392.209</v>
      </c>
      <c r="T97" s="117">
        <v>422.839</v>
      </c>
      <c r="U97" s="24">
        <v>32.69</v>
      </c>
      <c r="V97" s="24">
        <v>658.155</v>
      </c>
      <c r="W97" s="24">
        <v>756.14</v>
      </c>
      <c r="Y97" s="27"/>
      <c r="Z97" s="27"/>
    </row>
    <row r="98">
      <c r="A98" s="149" t="s">
        <v>141</v>
      </c>
      <c r="C98" s="53">
        <v>50.0</v>
      </c>
      <c r="D98" s="117">
        <v>732.371</v>
      </c>
      <c r="E98" s="117">
        <v>255.206</v>
      </c>
      <c r="F98" s="117">
        <v>48.214</v>
      </c>
      <c r="G98" s="117">
        <v>13.666</v>
      </c>
      <c r="H98" s="117">
        <v>61.106</v>
      </c>
      <c r="I98" s="117">
        <v>13.476</v>
      </c>
      <c r="J98" s="124">
        <v>56.401</v>
      </c>
      <c r="K98" s="124">
        <v>29.044</v>
      </c>
      <c r="L98" s="124">
        <v>506.281</v>
      </c>
      <c r="M98" s="124">
        <v>222.543</v>
      </c>
      <c r="N98" s="124"/>
      <c r="O98" s="124">
        <v>380.876</v>
      </c>
      <c r="P98" s="124">
        <v>345.968</v>
      </c>
      <c r="Q98" s="117">
        <v>381.874</v>
      </c>
      <c r="R98" s="117">
        <v>467.148</v>
      </c>
      <c r="S98" s="117">
        <v>373.824</v>
      </c>
      <c r="T98" s="117">
        <v>409.685</v>
      </c>
      <c r="U98" s="24">
        <v>29.008</v>
      </c>
      <c r="V98" s="24">
        <v>656.686</v>
      </c>
      <c r="W98" s="24">
        <v>756.176</v>
      </c>
      <c r="Y98" s="27"/>
      <c r="Z98" s="27"/>
    </row>
    <row r="99">
      <c r="A99" s="149" t="s">
        <v>142</v>
      </c>
      <c r="C99" s="53">
        <v>51.0</v>
      </c>
      <c r="D99" s="117">
        <v>721.236</v>
      </c>
      <c r="E99" s="117">
        <v>258.35</v>
      </c>
      <c r="F99" s="117">
        <v>46.361</v>
      </c>
      <c r="G99" s="117">
        <v>14.148</v>
      </c>
      <c r="H99" s="117">
        <v>63.493</v>
      </c>
      <c r="I99" s="117">
        <v>16.111</v>
      </c>
      <c r="J99" s="124">
        <v>55.973</v>
      </c>
      <c r="K99" s="124">
        <v>29.75</v>
      </c>
      <c r="L99" s="124">
        <v>489.539</v>
      </c>
      <c r="M99" s="124">
        <v>257.781</v>
      </c>
      <c r="N99" s="124"/>
      <c r="O99" s="124">
        <v>384.24</v>
      </c>
      <c r="P99" s="124">
        <v>359.904</v>
      </c>
      <c r="Q99" s="117">
        <v>406.729</v>
      </c>
      <c r="R99" s="117">
        <v>457.782</v>
      </c>
      <c r="S99" s="117">
        <v>341.333</v>
      </c>
      <c r="T99" s="117">
        <v>389.507</v>
      </c>
      <c r="U99" s="24">
        <v>32.362</v>
      </c>
      <c r="V99" s="24">
        <v>659.341</v>
      </c>
      <c r="W99" s="24">
        <v>760.166</v>
      </c>
      <c r="Y99" s="27"/>
      <c r="Z99" s="27"/>
    </row>
    <row r="100">
      <c r="A100" s="149" t="s">
        <v>143</v>
      </c>
      <c r="C100" s="53">
        <v>52.0</v>
      </c>
      <c r="D100" s="117">
        <v>720.609</v>
      </c>
      <c r="E100" s="117">
        <v>256.57</v>
      </c>
      <c r="F100" s="117">
        <v>45.626</v>
      </c>
      <c r="G100" s="117">
        <v>12.611</v>
      </c>
      <c r="H100" s="117">
        <v>62.82</v>
      </c>
      <c r="I100" s="117">
        <v>14.049</v>
      </c>
      <c r="J100" s="124">
        <v>77.982</v>
      </c>
      <c r="K100" s="124">
        <v>30.305</v>
      </c>
      <c r="L100" s="124">
        <v>490.192</v>
      </c>
      <c r="M100" s="124">
        <v>240.014</v>
      </c>
      <c r="N100" s="124"/>
      <c r="O100" s="124">
        <v>383.091</v>
      </c>
      <c r="P100" s="124">
        <v>349.124</v>
      </c>
      <c r="Q100" s="117">
        <v>339.933</v>
      </c>
      <c r="R100" s="117">
        <v>434.895</v>
      </c>
      <c r="S100" s="117">
        <v>317.415</v>
      </c>
      <c r="T100" s="117">
        <v>417.484</v>
      </c>
      <c r="U100" s="24">
        <v>31.964</v>
      </c>
      <c r="V100" s="24">
        <v>657.452</v>
      </c>
      <c r="W100" s="24">
        <v>757.046</v>
      </c>
      <c r="Y100" s="27"/>
      <c r="Z100" s="27"/>
    </row>
    <row r="101">
      <c r="A101" s="149" t="s">
        <v>144</v>
      </c>
      <c r="C101" s="53">
        <v>53.0</v>
      </c>
      <c r="D101" s="117">
        <v>727.302</v>
      </c>
      <c r="E101" s="117">
        <v>257.548</v>
      </c>
      <c r="F101" s="117">
        <v>31.433</v>
      </c>
      <c r="G101" s="117">
        <v>14.181</v>
      </c>
      <c r="H101" s="117">
        <v>61.18</v>
      </c>
      <c r="I101" s="117">
        <v>13.043</v>
      </c>
      <c r="J101" s="124">
        <v>82.13</v>
      </c>
      <c r="K101" s="124">
        <v>25.489</v>
      </c>
      <c r="L101" s="124">
        <v>490.581</v>
      </c>
      <c r="M101" s="124">
        <v>239.448</v>
      </c>
      <c r="N101" s="124"/>
      <c r="O101" s="124">
        <v>380.952</v>
      </c>
      <c r="P101" s="124">
        <v>341.26</v>
      </c>
      <c r="Q101" s="117">
        <v>368.51</v>
      </c>
      <c r="R101" s="117">
        <v>463.008</v>
      </c>
      <c r="S101" s="117">
        <v>391.092</v>
      </c>
      <c r="T101" s="117">
        <v>414.2</v>
      </c>
      <c r="U101" s="24">
        <v>32.539</v>
      </c>
      <c r="V101" s="24">
        <v>657.15</v>
      </c>
      <c r="W101" s="24">
        <v>821.278</v>
      </c>
      <c r="Y101" s="27"/>
      <c r="Z101" s="27"/>
    </row>
    <row r="102">
      <c r="A102" s="149" t="s">
        <v>145</v>
      </c>
      <c r="C102" s="53">
        <v>54.0</v>
      </c>
      <c r="D102" s="117">
        <v>705.413</v>
      </c>
      <c r="E102" s="117">
        <v>257.429</v>
      </c>
      <c r="F102" s="117">
        <v>54.21</v>
      </c>
      <c r="G102" s="117">
        <v>6.87</v>
      </c>
      <c r="H102" s="117">
        <v>62.55</v>
      </c>
      <c r="I102" s="117">
        <v>14.349</v>
      </c>
      <c r="J102" s="124">
        <v>53.999</v>
      </c>
      <c r="K102" s="124">
        <v>24.646</v>
      </c>
      <c r="L102" s="124">
        <v>488.213</v>
      </c>
      <c r="M102" s="124">
        <v>222.918</v>
      </c>
      <c r="N102" s="124"/>
      <c r="O102" s="124">
        <v>382.928</v>
      </c>
      <c r="P102" s="124">
        <v>353.823</v>
      </c>
      <c r="Q102" s="117">
        <v>342.496</v>
      </c>
      <c r="R102" s="117">
        <v>450.116</v>
      </c>
      <c r="S102" s="117">
        <v>331.917</v>
      </c>
      <c r="T102" s="117">
        <v>421.89</v>
      </c>
      <c r="U102" s="24">
        <v>31.878</v>
      </c>
      <c r="V102" s="24">
        <v>658.867</v>
      </c>
      <c r="W102" s="24">
        <v>756.426</v>
      </c>
      <c r="Y102" s="27"/>
      <c r="Z102" s="27"/>
    </row>
    <row r="103">
      <c r="A103" s="149" t="s">
        <v>146</v>
      </c>
      <c r="C103" s="53">
        <v>55.0</v>
      </c>
      <c r="D103" s="117">
        <v>730.62</v>
      </c>
      <c r="E103" s="117">
        <v>250.095</v>
      </c>
      <c r="F103" s="117">
        <v>55.502</v>
      </c>
      <c r="G103" s="117">
        <v>6.483</v>
      </c>
      <c r="H103" s="117">
        <v>60.954</v>
      </c>
      <c r="I103" s="117">
        <v>13.587</v>
      </c>
      <c r="J103" s="124">
        <v>48.956</v>
      </c>
      <c r="K103" s="124">
        <v>30.219</v>
      </c>
      <c r="L103" s="124">
        <v>505.202</v>
      </c>
      <c r="M103" s="124">
        <v>237.112</v>
      </c>
      <c r="N103" s="124"/>
      <c r="O103" s="124">
        <v>383.382</v>
      </c>
      <c r="P103" s="124">
        <v>356.594</v>
      </c>
      <c r="Q103" s="117">
        <v>370.332</v>
      </c>
      <c r="R103" s="117">
        <v>435.089</v>
      </c>
      <c r="S103" s="117">
        <v>387.844</v>
      </c>
      <c r="T103" s="117">
        <v>419.228</v>
      </c>
      <c r="U103" s="24">
        <v>30.729</v>
      </c>
      <c r="V103" s="24">
        <v>657.277</v>
      </c>
      <c r="W103" s="24">
        <v>759.611</v>
      </c>
      <c r="Y103" s="27"/>
      <c r="Z103" s="27"/>
    </row>
    <row r="104">
      <c r="A104" s="149" t="s">
        <v>147</v>
      </c>
      <c r="C104" s="53">
        <v>56.0</v>
      </c>
      <c r="D104" s="117">
        <v>731.163</v>
      </c>
      <c r="E104" s="117">
        <v>258.765</v>
      </c>
      <c r="F104" s="117">
        <v>48.93</v>
      </c>
      <c r="G104" s="117">
        <v>7.357</v>
      </c>
      <c r="H104" s="117">
        <v>62.385</v>
      </c>
      <c r="I104" s="117">
        <v>15.564</v>
      </c>
      <c r="J104" s="124">
        <v>64.259</v>
      </c>
      <c r="K104" s="124">
        <v>31.469</v>
      </c>
      <c r="L104" s="124">
        <v>495.402</v>
      </c>
      <c r="M104" s="124">
        <v>266.882</v>
      </c>
      <c r="N104" s="124"/>
      <c r="O104" s="124">
        <v>387.53</v>
      </c>
      <c r="P104" s="124">
        <v>370.129</v>
      </c>
      <c r="Q104" s="117">
        <v>397.904</v>
      </c>
      <c r="R104" s="117">
        <v>465.947</v>
      </c>
      <c r="S104" s="117">
        <v>423.931</v>
      </c>
      <c r="T104" s="117">
        <v>402.592</v>
      </c>
      <c r="U104" s="24">
        <v>31.242</v>
      </c>
      <c r="V104" s="24">
        <v>657.728</v>
      </c>
      <c r="W104" s="24">
        <v>756.515</v>
      </c>
      <c r="Y104" s="27"/>
      <c r="Z104" s="27"/>
    </row>
    <row r="105">
      <c r="A105" s="149" t="s">
        <v>148</v>
      </c>
      <c r="C105" s="53">
        <v>57.0</v>
      </c>
      <c r="D105" s="117">
        <v>730.527</v>
      </c>
      <c r="E105" s="117">
        <v>259.277</v>
      </c>
      <c r="F105" s="117">
        <v>52.05</v>
      </c>
      <c r="G105" s="117">
        <v>6.166</v>
      </c>
      <c r="H105" s="117">
        <v>62.958</v>
      </c>
      <c r="I105" s="117">
        <v>14.317</v>
      </c>
      <c r="J105" s="124">
        <v>55.538</v>
      </c>
      <c r="K105" s="124">
        <v>27.685</v>
      </c>
      <c r="L105" s="124">
        <v>505.728</v>
      </c>
      <c r="M105" s="124">
        <v>248.263</v>
      </c>
      <c r="N105" s="124"/>
      <c r="O105" s="124">
        <v>384.392</v>
      </c>
      <c r="P105" s="124">
        <v>359.901</v>
      </c>
      <c r="Q105" s="117">
        <v>362.235</v>
      </c>
      <c r="R105" s="117">
        <v>460.881</v>
      </c>
      <c r="S105" s="117">
        <v>326.282</v>
      </c>
      <c r="T105" s="117">
        <v>424.728</v>
      </c>
      <c r="U105" s="24">
        <v>34.689</v>
      </c>
      <c r="V105" s="24">
        <v>658.894</v>
      </c>
      <c r="W105" s="24">
        <v>755.928</v>
      </c>
      <c r="Y105" s="27"/>
      <c r="Z105" s="27"/>
    </row>
    <row r="106">
      <c r="A106" s="149" t="s">
        <v>149</v>
      </c>
      <c r="C106" s="53">
        <v>58.0</v>
      </c>
      <c r="D106" s="117">
        <v>715.41</v>
      </c>
      <c r="E106" s="117">
        <v>254.974</v>
      </c>
      <c r="F106" s="117">
        <v>51.322</v>
      </c>
      <c r="G106" s="117">
        <v>16.759</v>
      </c>
      <c r="H106" s="117">
        <v>59.699</v>
      </c>
      <c r="I106" s="117">
        <v>15.943</v>
      </c>
      <c r="J106" s="124">
        <v>77.78</v>
      </c>
      <c r="K106" s="124">
        <v>28.857</v>
      </c>
      <c r="L106" s="124">
        <v>504.602</v>
      </c>
      <c r="M106" s="124">
        <v>262.567</v>
      </c>
      <c r="N106" s="124"/>
      <c r="O106" s="124">
        <v>391.189</v>
      </c>
      <c r="P106" s="124">
        <v>354.921</v>
      </c>
      <c r="Q106" s="117">
        <v>368.685</v>
      </c>
      <c r="R106" s="117">
        <v>440.101</v>
      </c>
      <c r="S106" s="117">
        <v>363.494</v>
      </c>
      <c r="T106" s="117">
        <v>422.618</v>
      </c>
      <c r="U106" s="24">
        <v>33.097</v>
      </c>
      <c r="V106" s="24">
        <v>660.379</v>
      </c>
      <c r="W106" s="24">
        <v>734.745</v>
      </c>
      <c r="Y106" s="27"/>
      <c r="Z106" s="27"/>
    </row>
    <row r="107">
      <c r="A107" s="149" t="s">
        <v>150</v>
      </c>
      <c r="C107" s="53">
        <v>59.0</v>
      </c>
      <c r="D107" s="117">
        <v>712.231</v>
      </c>
      <c r="E107" s="117">
        <v>258.849</v>
      </c>
      <c r="F107" s="117">
        <v>50.981</v>
      </c>
      <c r="G107" s="117">
        <v>14.557</v>
      </c>
      <c r="H107" s="117">
        <v>62.458</v>
      </c>
      <c r="I107" s="117">
        <v>8.296</v>
      </c>
      <c r="J107" s="124">
        <v>82.422</v>
      </c>
      <c r="K107" s="124">
        <v>28.563</v>
      </c>
      <c r="L107" s="124">
        <v>486.35</v>
      </c>
      <c r="M107" s="124">
        <v>252.721</v>
      </c>
      <c r="N107" s="124"/>
      <c r="O107" s="124">
        <v>383.476</v>
      </c>
      <c r="P107" s="124">
        <v>348.809</v>
      </c>
      <c r="Q107" s="117">
        <v>368.43</v>
      </c>
      <c r="R107" s="117">
        <v>459.683</v>
      </c>
      <c r="S107" s="117">
        <v>335.288</v>
      </c>
      <c r="T107" s="117">
        <v>404.518</v>
      </c>
      <c r="U107" s="24">
        <v>33.323</v>
      </c>
      <c r="V107" s="24">
        <v>660.287</v>
      </c>
      <c r="W107" s="24">
        <v>751.787</v>
      </c>
      <c r="Y107" s="27"/>
      <c r="Z107" s="27"/>
    </row>
    <row r="108">
      <c r="A108" s="149" t="s">
        <v>151</v>
      </c>
      <c r="C108" s="53">
        <v>60.0</v>
      </c>
      <c r="D108" s="117">
        <v>701.471</v>
      </c>
      <c r="E108" s="117">
        <v>246.279</v>
      </c>
      <c r="F108" s="117">
        <v>46.635</v>
      </c>
      <c r="G108" s="117">
        <v>12.875</v>
      </c>
      <c r="H108" s="117">
        <v>61.991</v>
      </c>
      <c r="I108" s="117">
        <v>14.252</v>
      </c>
      <c r="J108" s="124">
        <v>74.988</v>
      </c>
      <c r="K108" s="124">
        <v>30.427</v>
      </c>
      <c r="L108" s="124">
        <v>491.342</v>
      </c>
      <c r="M108" s="124">
        <v>254.714</v>
      </c>
      <c r="N108" s="124"/>
      <c r="O108" s="124">
        <v>386.203</v>
      </c>
      <c r="P108" s="124">
        <v>352.759</v>
      </c>
      <c r="Q108" s="117">
        <v>357.188</v>
      </c>
      <c r="R108" s="117">
        <v>455.756</v>
      </c>
      <c r="S108" s="117">
        <v>320.046</v>
      </c>
      <c r="T108" s="117">
        <v>416.444</v>
      </c>
      <c r="U108" s="24">
        <v>20.466</v>
      </c>
      <c r="V108" s="24">
        <v>660.178</v>
      </c>
      <c r="W108" s="24">
        <v>756.889</v>
      </c>
      <c r="Y108" s="27"/>
      <c r="Z108" s="27"/>
    </row>
    <row r="109">
      <c r="A109" s="149" t="s">
        <v>152</v>
      </c>
      <c r="C109" s="53">
        <v>61.0</v>
      </c>
      <c r="D109" s="117">
        <v>737.815</v>
      </c>
      <c r="E109" s="117">
        <v>258.506</v>
      </c>
      <c r="F109" s="117">
        <v>45.218</v>
      </c>
      <c r="G109" s="117">
        <v>11.652</v>
      </c>
      <c r="H109" s="117">
        <v>60.777</v>
      </c>
      <c r="I109" s="117">
        <v>14.096</v>
      </c>
      <c r="J109" s="124">
        <v>64.209</v>
      </c>
      <c r="K109" s="124">
        <v>29.619</v>
      </c>
      <c r="L109" s="124">
        <v>490.503</v>
      </c>
      <c r="M109" s="124">
        <v>252.544</v>
      </c>
      <c r="N109" s="124"/>
      <c r="O109" s="124">
        <v>383.212</v>
      </c>
      <c r="P109" s="124">
        <v>366.71</v>
      </c>
      <c r="Q109" s="117">
        <v>369.437</v>
      </c>
      <c r="R109" s="117">
        <v>471.326</v>
      </c>
      <c r="S109" s="117">
        <v>318.453</v>
      </c>
      <c r="T109" s="117">
        <v>431.835</v>
      </c>
      <c r="U109" s="24">
        <v>31.495</v>
      </c>
      <c r="V109" s="24">
        <v>660.316</v>
      </c>
      <c r="W109" s="24">
        <v>756.155</v>
      </c>
      <c r="Y109" s="27"/>
      <c r="Z109" s="27"/>
    </row>
    <row r="110">
      <c r="A110" s="149" t="s">
        <v>153</v>
      </c>
      <c r="C110" s="53">
        <v>62.0</v>
      </c>
      <c r="D110" s="117">
        <v>723.794</v>
      </c>
      <c r="E110" s="117">
        <v>258.161</v>
      </c>
      <c r="F110" s="117">
        <v>51.377</v>
      </c>
      <c r="G110" s="117">
        <v>13.839</v>
      </c>
      <c r="H110" s="117">
        <v>64.235</v>
      </c>
      <c r="I110" s="117">
        <v>13.392</v>
      </c>
      <c r="J110" s="124">
        <v>67.062</v>
      </c>
      <c r="K110" s="124">
        <v>31.886</v>
      </c>
      <c r="L110" s="124">
        <v>479.889</v>
      </c>
      <c r="M110" s="124">
        <v>251.306</v>
      </c>
      <c r="N110" s="124"/>
      <c r="O110" s="124">
        <v>383.522</v>
      </c>
      <c r="P110" s="124">
        <v>355.7</v>
      </c>
      <c r="Q110" s="117">
        <v>356.18</v>
      </c>
      <c r="R110" s="117">
        <v>476.464</v>
      </c>
      <c r="S110" s="117">
        <v>325.876</v>
      </c>
      <c r="T110" s="117">
        <v>428.129</v>
      </c>
      <c r="U110" s="24">
        <v>19.933</v>
      </c>
      <c r="V110" s="24">
        <v>662.009</v>
      </c>
      <c r="W110" s="24">
        <v>757.244</v>
      </c>
      <c r="Y110" s="27"/>
      <c r="Z110" s="27"/>
    </row>
    <row r="111">
      <c r="A111" s="149" t="s">
        <v>154</v>
      </c>
      <c r="C111" s="53">
        <v>63.0</v>
      </c>
      <c r="D111" s="117">
        <v>692.481</v>
      </c>
      <c r="E111" s="117">
        <v>252.483</v>
      </c>
      <c r="F111" s="117">
        <v>55.845</v>
      </c>
      <c r="G111" s="117">
        <v>7.625</v>
      </c>
      <c r="H111" s="117">
        <v>50.137</v>
      </c>
      <c r="I111" s="117">
        <v>15.007</v>
      </c>
      <c r="J111" s="124">
        <v>74.867</v>
      </c>
      <c r="K111" s="124">
        <v>29.647</v>
      </c>
      <c r="L111" s="124">
        <v>512.623</v>
      </c>
      <c r="M111" s="124">
        <v>295.541</v>
      </c>
      <c r="N111" s="124"/>
      <c r="O111" s="124">
        <v>385.492</v>
      </c>
      <c r="P111" s="124">
        <v>377.656</v>
      </c>
      <c r="Q111" s="117">
        <v>341.504</v>
      </c>
      <c r="R111" s="117">
        <v>465.217</v>
      </c>
      <c r="S111" s="117">
        <v>311.298</v>
      </c>
      <c r="T111" s="117">
        <v>443.637</v>
      </c>
      <c r="U111" s="24">
        <v>32.689</v>
      </c>
      <c r="V111" s="24">
        <v>660.773</v>
      </c>
      <c r="W111" s="24">
        <v>755.683</v>
      </c>
      <c r="Y111" s="27"/>
      <c r="Z111" s="27"/>
    </row>
    <row r="112">
      <c r="A112" s="149" t="s">
        <v>155</v>
      </c>
      <c r="C112" s="53">
        <v>64.0</v>
      </c>
      <c r="D112" s="117">
        <v>729.395</v>
      </c>
      <c r="E112" s="117">
        <v>256.252</v>
      </c>
      <c r="F112" s="117">
        <v>49.253</v>
      </c>
      <c r="G112" s="117">
        <v>14.608</v>
      </c>
      <c r="H112" s="117">
        <v>60.958</v>
      </c>
      <c r="I112" s="117">
        <v>11.041</v>
      </c>
      <c r="J112" s="124">
        <v>69.021</v>
      </c>
      <c r="K112" s="124">
        <v>33.047</v>
      </c>
      <c r="L112" s="124">
        <v>508.115</v>
      </c>
      <c r="M112" s="124">
        <v>261.198</v>
      </c>
      <c r="N112" s="124"/>
      <c r="O112" s="124">
        <v>387.437</v>
      </c>
      <c r="P112" s="124">
        <v>357.018</v>
      </c>
      <c r="Q112" s="117">
        <v>402.377</v>
      </c>
      <c r="R112" s="117">
        <v>464.238</v>
      </c>
      <c r="S112" s="117">
        <v>409.231</v>
      </c>
      <c r="T112" s="117">
        <v>407.696</v>
      </c>
      <c r="U112" s="24">
        <v>33.844</v>
      </c>
      <c r="V112" s="24">
        <v>661.22</v>
      </c>
      <c r="W112" s="24">
        <v>755.224</v>
      </c>
    </row>
    <row r="113">
      <c r="A113" s="150" t="s">
        <v>47</v>
      </c>
      <c r="C113" s="53" t="s">
        <v>47</v>
      </c>
      <c r="D113" s="151" t="str">
        <f t="shared" ref="D113:M113" si="23">AVERAGE(D49:D112)</f>
        <v>725.2</v>
      </c>
      <c r="E113" s="151" t="str">
        <f t="shared" si="23"/>
        <v>256.3</v>
      </c>
      <c r="F113" s="151" t="str">
        <f t="shared" si="23"/>
        <v>48.9</v>
      </c>
      <c r="G113" s="151" t="str">
        <f t="shared" si="23"/>
        <v>11.8</v>
      </c>
      <c r="H113" s="151" t="str">
        <f t="shared" si="23"/>
        <v>61.5</v>
      </c>
      <c r="I113" s="151" t="str">
        <f t="shared" si="23"/>
        <v>12.9</v>
      </c>
      <c r="J113" s="151" t="str">
        <f t="shared" si="23"/>
        <v>65.6</v>
      </c>
      <c r="K113" s="151" t="str">
        <f t="shared" si="23"/>
        <v>29.1</v>
      </c>
      <c r="L113" s="151" t="str">
        <f t="shared" si="23"/>
        <v>496.9</v>
      </c>
      <c r="M113" s="151" t="str">
        <f t="shared" si="23"/>
        <v>246.0</v>
      </c>
      <c r="N113" s="151"/>
      <c r="O113" s="151" t="str">
        <f t="shared" ref="O113:W113" si="24">AVERAGE(O49:O112)</f>
        <v>383.3</v>
      </c>
      <c r="P113" s="151" t="str">
        <f t="shared" si="24"/>
        <v>355.2</v>
      </c>
      <c r="Q113" s="151" t="str">
        <f t="shared" si="24"/>
        <v>371.5</v>
      </c>
      <c r="R113" s="151" t="str">
        <f t="shared" si="24"/>
        <v>454.1</v>
      </c>
      <c r="S113" s="151" t="str">
        <f t="shared" si="24"/>
        <v>356.7</v>
      </c>
      <c r="T113" s="151" t="str">
        <f t="shared" si="24"/>
        <v>417.4</v>
      </c>
      <c r="U113" s="152" t="str">
        <f t="shared" si="24"/>
        <v>30.0854</v>
      </c>
      <c r="V113" s="152" t="str">
        <f t="shared" si="24"/>
        <v>653.0986</v>
      </c>
      <c r="W113" s="152" t="str">
        <f t="shared" si="24"/>
        <v>754.2221</v>
      </c>
      <c r="X113" s="150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</row>
    <row r="114">
      <c r="A114" s="69" t="s">
        <v>48</v>
      </c>
      <c r="B114" s="70" t="str">
        <f t="shared" ref="B114:C114" si="25">10000*64/V113</f>
        <v>979.94397</v>
      </c>
      <c r="C114" s="70" t="str">
        <f t="shared" si="25"/>
        <v>848.55640</v>
      </c>
      <c r="D114" s="70" t="str">
        <f t="shared" ref="D114:E114" si="26">10000*1024*64/D113</f>
        <v>903744.71825</v>
      </c>
      <c r="E114" s="70" t="str">
        <f t="shared" si="26"/>
        <v>2557224.73066</v>
      </c>
      <c r="F114" s="70" t="str">
        <f t="shared" ref="F114:G114" si="27">1000*64*10240/F113</f>
        <v>13393267.64062</v>
      </c>
      <c r="G114" s="70" t="str">
        <f t="shared" si="27"/>
        <v>55742703.73718</v>
      </c>
      <c r="H114" s="70" t="str">
        <f t="shared" ref="H114:I114" si="28">1000*64*102400/H113</f>
        <v>106598730.36237</v>
      </c>
      <c r="I114" s="70" t="str">
        <f t="shared" si="28"/>
        <v>509159595.51817</v>
      </c>
      <c r="J114" s="70" t="str">
        <f t="shared" ref="J114:K114" si="29">1000*64*1024000/J113</f>
        <v>998833112.18031</v>
      </c>
      <c r="K114" s="70" t="str">
        <f t="shared" si="29"/>
        <v>2249441434.56123</v>
      </c>
      <c r="L114" s="70" t="str">
        <f t="shared" ref="L114:M114" si="30">1000*64*10240000/L113</f>
        <v>1318964724.84205</v>
      </c>
      <c r="M114" s="70" t="str">
        <f t="shared" si="30"/>
        <v>2664443112.67236</v>
      </c>
      <c r="N114" s="70"/>
      <c r="O114" s="70" t="str">
        <f t="shared" ref="O114:P114" si="31">100*64*102400000/O113</f>
        <v>1709906137.27831</v>
      </c>
      <c r="P114" s="70" t="str">
        <f t="shared" si="31"/>
        <v>1845282312.79034</v>
      </c>
      <c r="Q114" s="70" t="str">
        <f t="shared" ref="Q114:R114" si="32">10*64*1024000000/Q113</f>
        <v>1764230427.29475</v>
      </c>
      <c r="R114" s="70" t="str">
        <f t="shared" si="32"/>
        <v>1443109712.49792</v>
      </c>
      <c r="S114" s="70" t="str">
        <f t="shared" ref="S114:T114" si="33">1*64*10240000000/S113</f>
        <v>1837123677.55516</v>
      </c>
      <c r="T114" s="70" t="str">
        <f t="shared" si="33"/>
        <v>1570222591.18489</v>
      </c>
      <c r="U114" s="70" t="str">
        <f t="shared" ref="U114:W114" si="34">10000*64/U113</f>
        <v>21272.75031</v>
      </c>
      <c r="V114" s="70" t="str">
        <f t="shared" si="34"/>
        <v>979.94397</v>
      </c>
      <c r="W114" s="70" t="str">
        <f t="shared" si="34"/>
        <v>848.55640</v>
      </c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</row>
    <row r="115">
      <c r="A115" s="69" t="s">
        <v>65</v>
      </c>
      <c r="B115" s="70"/>
      <c r="C115" s="70"/>
      <c r="D115" s="70" t="str">
        <f t="shared" ref="D115:M115" si="35">D114/1024/1024</f>
        <v>0.86188</v>
      </c>
      <c r="E115" s="70" t="str">
        <f t="shared" si="35"/>
        <v>2.43876</v>
      </c>
      <c r="F115" s="70" t="str">
        <f t="shared" si="35"/>
        <v>12.77282</v>
      </c>
      <c r="G115" s="70" t="str">
        <f t="shared" si="35"/>
        <v>53.16038</v>
      </c>
      <c r="H115" s="70" t="str">
        <f t="shared" si="35"/>
        <v>101.66047</v>
      </c>
      <c r="I115" s="70" t="str">
        <f t="shared" si="35"/>
        <v>485.57243</v>
      </c>
      <c r="J115" s="70" t="str">
        <f t="shared" si="35"/>
        <v>952.56149</v>
      </c>
      <c r="K115" s="70" t="str">
        <f t="shared" si="35"/>
        <v>2145.23452</v>
      </c>
      <c r="L115" s="70" t="str">
        <f t="shared" si="35"/>
        <v>1257.86278</v>
      </c>
      <c r="M115" s="70" t="str">
        <f t="shared" si="35"/>
        <v>2541.01096</v>
      </c>
      <c r="N115" s="70"/>
      <c r="O115" s="70" t="str">
        <f t="shared" ref="O115:T115" si="36">O114/1024/1024</f>
        <v>1630.69357</v>
      </c>
      <c r="P115" s="70" t="str">
        <f t="shared" si="36"/>
        <v>1759.79835</v>
      </c>
      <c r="Q115" s="70" t="str">
        <f t="shared" si="36"/>
        <v>1682.50125</v>
      </c>
      <c r="R115" s="70" t="str">
        <f t="shared" si="36"/>
        <v>1376.25667</v>
      </c>
      <c r="S115" s="70" t="str">
        <f t="shared" si="36"/>
        <v>1752.01767</v>
      </c>
      <c r="T115" s="70" t="str">
        <f t="shared" si="36"/>
        <v>1497.48096</v>
      </c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</row>
    <row r="116">
      <c r="A116" s="149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W116" s="27"/>
      <c r="X116" s="27"/>
    </row>
    <row r="117">
      <c r="A117" s="149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W117" s="27"/>
      <c r="X117" s="27"/>
    </row>
    <row r="118">
      <c r="A118" s="149"/>
      <c r="D118" s="127"/>
      <c r="E118" s="127"/>
      <c r="F118" s="115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W118" s="27"/>
      <c r="X118" s="27"/>
    </row>
    <row r="119">
      <c r="A119" s="149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W119" s="27"/>
      <c r="X119" s="27"/>
    </row>
    <row r="120">
      <c r="A120" s="149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W120" s="27"/>
      <c r="X120" s="27"/>
    </row>
    <row r="121">
      <c r="A121" s="149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W121" s="27"/>
      <c r="X121" s="27"/>
    </row>
    <row r="122">
      <c r="A122" s="149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W122" s="27"/>
      <c r="X122" s="27"/>
    </row>
    <row r="123">
      <c r="A123" s="149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W123" s="27"/>
      <c r="X123" s="27"/>
    </row>
    <row r="124">
      <c r="A124" s="149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W124" s="27"/>
      <c r="X124" s="27"/>
    </row>
    <row r="125"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W125" s="27"/>
      <c r="X125" s="27"/>
    </row>
    <row r="126"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W126" s="27"/>
      <c r="X126" s="27"/>
    </row>
    <row r="127"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W127" s="27"/>
      <c r="X127" s="27"/>
    </row>
    <row r="128"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W128" s="27"/>
      <c r="X128" s="27"/>
    </row>
    <row r="129"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W129" s="27"/>
      <c r="X129" s="27"/>
    </row>
    <row r="130"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W130" s="27"/>
      <c r="X130" s="27"/>
    </row>
    <row r="131"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W131" s="27"/>
      <c r="X131" s="27"/>
    </row>
    <row r="132"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W132" s="27"/>
      <c r="X132" s="27"/>
    </row>
    <row r="133"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W133" s="27"/>
      <c r="X133" s="27"/>
    </row>
    <row r="134"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W134" s="27"/>
      <c r="X134" s="27"/>
    </row>
    <row r="135"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W135" s="27"/>
      <c r="X135" s="27"/>
    </row>
    <row r="136"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W136" s="27"/>
      <c r="X136" s="27"/>
    </row>
    <row r="137"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W137" s="27"/>
      <c r="X137" s="27"/>
    </row>
    <row r="138"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W138" s="27"/>
      <c r="X138" s="27"/>
    </row>
    <row r="139"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</row>
    <row r="140"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</row>
    <row r="141"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</row>
    <row r="142"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</row>
    <row r="143"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</row>
    <row r="144"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</row>
    <row r="145"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</row>
    <row r="146"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</row>
    <row r="147"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</row>
    <row r="148"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</row>
    <row r="149"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</row>
    <row r="150"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</row>
    <row r="151"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</row>
    <row r="152"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</row>
    <row r="153"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</row>
    <row r="154"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</row>
    <row r="155"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</row>
    <row r="156"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</row>
    <row r="157"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</row>
    <row r="158"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</row>
    <row r="159"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</row>
    <row r="160"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</row>
    <row r="161"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</row>
    <row r="162"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</row>
    <row r="163"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</row>
    <row r="164"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</row>
    <row r="165"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</row>
    <row r="166"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</row>
    <row r="167"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</row>
    <row r="168"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</row>
    <row r="169"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</row>
    <row r="170"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</row>
    <row r="171"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</row>
    <row r="172"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</row>
    <row r="173"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</row>
    <row r="174"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</row>
    <row r="175"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</row>
    <row r="176"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</row>
    <row r="177"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</row>
    <row r="178"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</row>
    <row r="179"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</row>
    <row r="180"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</row>
    <row r="181"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</row>
    <row r="182"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</row>
    <row r="183"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</row>
    <row r="184"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</row>
    <row r="185"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</row>
    <row r="186"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</row>
    <row r="187"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</row>
    <row r="188"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</row>
    <row r="189"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</row>
    <row r="190"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</row>
    <row r="191"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</row>
    <row r="192"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</row>
    <row r="193"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</row>
    <row r="194"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</row>
    <row r="195"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</row>
    <row r="196"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</row>
    <row r="197"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</row>
    <row r="198"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</row>
    <row r="199"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</row>
    <row r="200"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</row>
    <row r="201"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</row>
    <row r="202"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</row>
    <row r="203"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</row>
    <row r="204"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</row>
    <row r="205"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</row>
    <row r="206"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</row>
    <row r="207"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</row>
    <row r="208"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</row>
    <row r="209"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</row>
    <row r="210"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</row>
    <row r="211"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</row>
    <row r="212"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</row>
    <row r="213"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</row>
    <row r="214"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</row>
    <row r="215"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</row>
    <row r="216"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</row>
    <row r="217"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</row>
    <row r="218"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</row>
    <row r="219"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</row>
    <row r="220"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</row>
    <row r="221"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</row>
    <row r="222"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</row>
    <row r="223"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</row>
    <row r="224"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</row>
    <row r="225"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</row>
    <row r="226"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</row>
    <row r="227"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</row>
    <row r="228"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</row>
    <row r="229"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</row>
    <row r="230"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</row>
    <row r="231"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</row>
    <row r="232"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</row>
    <row r="233"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</row>
    <row r="234"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</row>
    <row r="235"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</row>
    <row r="236"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</row>
    <row r="237"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</row>
    <row r="238"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</row>
    <row r="239"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</row>
    <row r="240"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</row>
    <row r="241"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</row>
    <row r="242"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</row>
    <row r="243"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</row>
    <row r="244"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</row>
    <row r="245"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</row>
    <row r="246"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</row>
    <row r="247"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</row>
    <row r="248"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</row>
    <row r="249"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</row>
    <row r="250"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</row>
    <row r="251"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</row>
    <row r="252"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</row>
    <row r="253"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</row>
    <row r="254"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</row>
    <row r="255"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</row>
    <row r="256"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</row>
    <row r="257"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</row>
    <row r="258"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</row>
    <row r="259"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</row>
    <row r="260"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</row>
    <row r="261"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</row>
    <row r="262"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</row>
    <row r="263"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</row>
    <row r="264"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</row>
    <row r="265"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</row>
    <row r="266"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</row>
    <row r="267"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</row>
    <row r="268"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</row>
    <row r="269"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</row>
    <row r="270"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</row>
    <row r="271"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</row>
    <row r="272"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</row>
    <row r="273"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</row>
    <row r="274"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</row>
    <row r="275"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</row>
    <row r="276"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</row>
    <row r="277"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</row>
    <row r="278"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</row>
    <row r="279"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</row>
    <row r="280"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</row>
    <row r="281"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</row>
    <row r="282"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</row>
    <row r="283"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</row>
    <row r="284"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</row>
    <row r="285"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</row>
    <row r="286"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</row>
    <row r="287"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</row>
    <row r="288"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</row>
    <row r="289"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</row>
    <row r="290"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</row>
    <row r="291"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</row>
    <row r="292"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</row>
    <row r="293"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</row>
    <row r="294"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</row>
    <row r="295"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</row>
    <row r="296"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</row>
    <row r="297"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</row>
    <row r="298"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</row>
    <row r="299"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</row>
    <row r="300"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</row>
    <row r="301"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</row>
    <row r="302"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</row>
    <row r="303"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</row>
    <row r="304"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</row>
    <row r="305"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</row>
    <row r="306"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</row>
    <row r="307"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</row>
    <row r="308"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</row>
    <row r="309"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</row>
    <row r="310"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</row>
    <row r="311"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</row>
    <row r="312"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</row>
    <row r="313"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</row>
    <row r="314"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</row>
    <row r="315"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</row>
    <row r="316"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</row>
    <row r="317"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</row>
    <row r="318"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</row>
    <row r="319"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</row>
    <row r="320"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</row>
    <row r="321"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</row>
    <row r="322"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</row>
    <row r="323"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</row>
    <row r="324"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</row>
    <row r="325"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</row>
    <row r="326"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</row>
    <row r="327"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</row>
    <row r="328"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</row>
    <row r="329"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</row>
    <row r="330"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</row>
    <row r="331"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</row>
    <row r="332"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</row>
    <row r="333"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</row>
    <row r="334"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</row>
    <row r="335"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</row>
    <row r="336"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</row>
    <row r="337"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</row>
    <row r="338"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</row>
    <row r="339"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</row>
    <row r="340"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</row>
    <row r="341"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</row>
    <row r="342"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</row>
    <row r="343"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</row>
    <row r="344"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</row>
    <row r="345"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</row>
    <row r="346"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</row>
    <row r="347"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</row>
    <row r="348"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</row>
    <row r="349"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</row>
    <row r="350"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</row>
    <row r="351"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</row>
    <row r="352"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</row>
    <row r="353"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</row>
    <row r="354"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</row>
    <row r="355"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</row>
    <row r="356"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</row>
    <row r="357"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</row>
    <row r="358"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</row>
    <row r="359"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</row>
    <row r="360"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</row>
    <row r="361"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</row>
    <row r="362"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</row>
    <row r="363"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</row>
    <row r="364"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</row>
    <row r="365"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</row>
    <row r="366"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</row>
    <row r="367"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</row>
    <row r="368"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</row>
    <row r="369"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</row>
    <row r="370"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</row>
    <row r="371"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</row>
    <row r="372"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</row>
    <row r="373"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</row>
    <row r="374"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</row>
    <row r="375"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</row>
    <row r="376"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</row>
    <row r="377"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</row>
    <row r="378"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</row>
    <row r="379"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</row>
    <row r="380"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</row>
    <row r="381"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</row>
    <row r="382"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</row>
    <row r="383"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</row>
    <row r="384"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</row>
    <row r="385"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</row>
    <row r="386"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</row>
    <row r="387"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</row>
    <row r="388"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</row>
    <row r="389"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</row>
    <row r="390"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</row>
    <row r="391"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</row>
    <row r="392"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</row>
    <row r="393"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</row>
    <row r="394"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</row>
    <row r="395"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</row>
    <row r="396"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</row>
    <row r="397"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</row>
    <row r="398"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</row>
    <row r="399"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</row>
    <row r="400"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</row>
    <row r="401"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</row>
    <row r="402"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</row>
    <row r="403"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</row>
    <row r="404"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</row>
    <row r="405"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</row>
    <row r="406"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</row>
    <row r="407"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</row>
    <row r="408"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</row>
    <row r="409"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</row>
    <row r="410"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</row>
    <row r="411"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</row>
    <row r="412"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</row>
    <row r="413"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</row>
    <row r="414"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</row>
    <row r="415"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</row>
    <row r="416"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</row>
    <row r="417"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</row>
    <row r="418"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</row>
    <row r="419"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</row>
    <row r="420"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</row>
    <row r="421"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</row>
    <row r="422"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</row>
    <row r="423"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</row>
    <row r="424"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</row>
    <row r="425"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</row>
    <row r="426"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</row>
    <row r="427"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</row>
    <row r="428"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</row>
    <row r="429"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</row>
    <row r="430"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</row>
    <row r="431"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</row>
    <row r="432"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</row>
    <row r="433"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</row>
    <row r="434"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</row>
    <row r="435"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</row>
    <row r="436"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</row>
    <row r="437"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</row>
    <row r="438"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</row>
    <row r="439"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</row>
    <row r="440"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</row>
    <row r="441"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</row>
    <row r="442"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</row>
    <row r="443"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</row>
    <row r="444"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</row>
    <row r="445"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</row>
    <row r="446"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</row>
    <row r="447"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</row>
    <row r="448"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</row>
    <row r="449"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</row>
    <row r="450"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</row>
    <row r="451"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</row>
    <row r="452"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</row>
    <row r="453"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</row>
    <row r="454"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</row>
    <row r="455"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</row>
    <row r="456"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</row>
    <row r="457"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</row>
    <row r="458"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</row>
    <row r="459"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</row>
    <row r="460"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</row>
    <row r="461"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</row>
    <row r="462"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</row>
    <row r="463"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</row>
    <row r="464"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</row>
    <row r="465"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</row>
    <row r="466"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</row>
    <row r="467"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</row>
    <row r="468"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</row>
    <row r="469"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</row>
    <row r="470"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</row>
    <row r="471"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</row>
    <row r="472"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</row>
    <row r="473"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</row>
    <row r="474"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</row>
    <row r="475"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</row>
    <row r="476"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</row>
    <row r="477"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</row>
    <row r="478"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</row>
    <row r="479"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</row>
    <row r="480"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</row>
    <row r="481"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</row>
    <row r="482"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</row>
    <row r="483"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</row>
    <row r="484"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</row>
    <row r="485"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</row>
    <row r="486"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</row>
    <row r="487"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</row>
    <row r="488"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</row>
    <row r="489"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</row>
    <row r="490"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</row>
    <row r="491"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</row>
    <row r="492"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</row>
    <row r="493"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</row>
    <row r="494"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</row>
    <row r="495"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</row>
    <row r="496"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</row>
    <row r="497"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</row>
    <row r="498"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</row>
    <row r="499"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</row>
    <row r="500"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</row>
    <row r="501"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</row>
    <row r="502"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</row>
    <row r="503"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</row>
    <row r="504"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</row>
    <row r="505"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</row>
    <row r="506"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</row>
    <row r="507"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</row>
    <row r="508"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</row>
    <row r="509"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</row>
    <row r="510"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</row>
    <row r="511"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</row>
    <row r="512"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</row>
    <row r="513"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</row>
    <row r="514"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</row>
    <row r="515"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</row>
    <row r="516"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</row>
    <row r="517"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</row>
    <row r="518"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</row>
    <row r="519"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</row>
    <row r="520"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</row>
    <row r="521"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</row>
    <row r="522"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</row>
    <row r="523"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</row>
    <row r="524"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</row>
    <row r="525"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</row>
    <row r="526"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</row>
    <row r="527"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</row>
    <row r="528"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</row>
    <row r="529"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</row>
    <row r="530"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</row>
    <row r="531"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</row>
    <row r="532"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</row>
    <row r="533"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</row>
    <row r="534"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</row>
    <row r="535"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</row>
    <row r="536"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</row>
    <row r="537"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</row>
    <row r="538"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</row>
    <row r="539"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</row>
    <row r="540"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</row>
    <row r="541"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</row>
    <row r="542"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</row>
    <row r="543"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</row>
    <row r="544"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</row>
    <row r="545"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</row>
    <row r="546"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</row>
    <row r="547"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</row>
    <row r="548"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</row>
    <row r="549"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</row>
    <row r="550"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</row>
    <row r="551"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</row>
    <row r="552"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</row>
    <row r="553"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</row>
    <row r="554"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</row>
    <row r="555"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</row>
    <row r="556"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</row>
    <row r="557"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</row>
    <row r="558"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</row>
    <row r="559"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</row>
    <row r="560"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</row>
    <row r="561"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</row>
    <row r="562"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</row>
    <row r="563"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</row>
    <row r="564"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</row>
    <row r="565"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</row>
    <row r="566"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</row>
    <row r="567"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</row>
    <row r="568"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</row>
    <row r="569"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</row>
    <row r="570"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</row>
    <row r="571"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</row>
    <row r="572"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</row>
    <row r="573"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</row>
    <row r="574"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</row>
    <row r="575"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</row>
    <row r="576"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</row>
    <row r="577"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</row>
    <row r="578"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</row>
    <row r="579"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</row>
    <row r="580"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</row>
    <row r="581"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</row>
    <row r="582"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</row>
    <row r="583"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</row>
    <row r="584"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</row>
    <row r="585"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</row>
    <row r="586"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</row>
    <row r="587"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</row>
    <row r="588"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</row>
    <row r="589"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</row>
    <row r="590"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</row>
    <row r="591"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</row>
    <row r="592"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</row>
    <row r="593"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</row>
    <row r="594"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</row>
    <row r="595"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</row>
    <row r="596"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</row>
    <row r="597"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</row>
    <row r="598"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</row>
    <row r="599"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</row>
    <row r="600"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</row>
    <row r="601"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</row>
    <row r="602"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</row>
    <row r="603"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</row>
    <row r="604"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</row>
    <row r="605"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</row>
    <row r="606"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</row>
    <row r="607"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</row>
    <row r="608"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</row>
    <row r="609"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</row>
    <row r="610"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</row>
    <row r="611"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</row>
    <row r="612"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</row>
    <row r="613"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</row>
    <row r="614"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</row>
    <row r="615"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</row>
    <row r="616"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</row>
    <row r="617"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</row>
    <row r="618"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</row>
    <row r="619"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</row>
    <row r="620"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</row>
    <row r="621"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</row>
    <row r="622"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</row>
    <row r="623"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</row>
    <row r="624"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</row>
    <row r="625"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</row>
    <row r="626"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</row>
    <row r="627"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</row>
    <row r="628"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</row>
    <row r="629"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</row>
    <row r="630"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</row>
    <row r="631"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</row>
    <row r="632"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</row>
    <row r="633"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</row>
    <row r="634"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</row>
    <row r="635"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</row>
    <row r="636"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</row>
    <row r="637"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</row>
    <row r="638"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</row>
    <row r="639"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</row>
    <row r="640"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</row>
    <row r="641"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</row>
    <row r="642"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</row>
    <row r="643"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</row>
    <row r="644"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</row>
    <row r="645"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</row>
    <row r="646"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</row>
    <row r="647"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</row>
    <row r="648"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</row>
    <row r="649"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</row>
    <row r="650"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</row>
    <row r="651"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</row>
    <row r="652"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</row>
    <row r="653"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</row>
    <row r="654"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</row>
    <row r="655"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</row>
    <row r="656"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</row>
    <row r="657"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</row>
    <row r="658"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</row>
    <row r="659"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</row>
    <row r="660"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</row>
    <row r="661"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</row>
    <row r="662"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</row>
    <row r="663"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</row>
    <row r="664"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</row>
    <row r="665"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</row>
    <row r="666"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</row>
    <row r="667"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</row>
    <row r="668"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</row>
    <row r="669"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</row>
    <row r="670"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</row>
    <row r="671"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</row>
    <row r="672"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</row>
    <row r="673"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</row>
    <row r="674"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</row>
    <row r="675"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</row>
    <row r="676"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</row>
    <row r="677"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</row>
    <row r="678"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</row>
    <row r="679"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</row>
    <row r="680"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</row>
    <row r="681"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</row>
    <row r="682"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</row>
    <row r="683"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</row>
    <row r="684"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</row>
    <row r="685"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</row>
    <row r="686"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</row>
    <row r="687"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</row>
    <row r="688"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</row>
    <row r="689"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</row>
    <row r="690"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</row>
    <row r="691"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</row>
    <row r="692"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</row>
    <row r="693"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</row>
    <row r="694"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</row>
    <row r="695"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</row>
    <row r="696"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</row>
    <row r="697"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</row>
    <row r="698"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</row>
    <row r="699"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</row>
    <row r="700"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</row>
    <row r="701"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</row>
    <row r="702"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</row>
    <row r="703"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</row>
    <row r="704"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</row>
    <row r="705"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</row>
    <row r="706"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</row>
    <row r="707"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</row>
    <row r="708"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</row>
    <row r="709"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</row>
    <row r="710"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</row>
    <row r="711"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</row>
    <row r="712"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</row>
    <row r="713"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</row>
    <row r="714"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</row>
    <row r="715"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</row>
    <row r="716"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</row>
    <row r="717"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</row>
    <row r="718"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</row>
    <row r="719"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</row>
    <row r="720"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</row>
    <row r="721"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</row>
    <row r="722"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</row>
    <row r="723"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</row>
    <row r="724"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</row>
    <row r="725"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</row>
    <row r="726"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</row>
    <row r="727"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</row>
    <row r="728"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</row>
    <row r="729"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</row>
    <row r="730"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</row>
    <row r="731"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</row>
    <row r="732"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</row>
    <row r="733"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</row>
    <row r="734"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</row>
    <row r="735"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</row>
    <row r="736"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</row>
    <row r="737"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</row>
    <row r="738"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</row>
    <row r="739"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</row>
    <row r="740"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</row>
    <row r="741"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</row>
    <row r="742"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</row>
    <row r="743"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</row>
    <row r="744"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</row>
    <row r="745"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</row>
    <row r="746"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</row>
    <row r="747"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</row>
    <row r="748"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</row>
    <row r="749"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</row>
    <row r="750"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</row>
    <row r="751"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</row>
    <row r="752"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</row>
    <row r="753"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</row>
    <row r="754"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</row>
    <row r="755"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</row>
    <row r="756"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</row>
    <row r="757"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</row>
    <row r="758"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</row>
    <row r="759"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</row>
    <row r="760"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</row>
    <row r="761"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</row>
    <row r="762"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</row>
    <row r="763"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</row>
    <row r="764"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</row>
    <row r="765"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</row>
    <row r="766"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</row>
    <row r="767"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</row>
    <row r="768"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</row>
    <row r="769"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</row>
    <row r="770"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</row>
    <row r="771"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</row>
    <row r="772"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</row>
    <row r="773"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</row>
    <row r="774"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</row>
    <row r="775"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</row>
    <row r="776"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</row>
    <row r="777"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</row>
    <row r="778"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</row>
    <row r="779"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</row>
    <row r="780"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</row>
    <row r="781"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</row>
    <row r="782"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</row>
    <row r="783"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</row>
    <row r="784"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</row>
    <row r="785"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</row>
    <row r="786"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</row>
    <row r="787"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</row>
    <row r="788"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</row>
    <row r="789"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</row>
    <row r="790"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</row>
    <row r="791"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</row>
    <row r="792"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</row>
    <row r="793"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</row>
    <row r="794"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</row>
    <row r="795"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</row>
    <row r="796"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</row>
    <row r="797"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</row>
    <row r="798"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</row>
    <row r="799"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</row>
    <row r="800"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</row>
    <row r="801"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</row>
    <row r="802"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</row>
    <row r="803"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</row>
    <row r="804"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</row>
    <row r="805"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</row>
    <row r="806"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</row>
    <row r="807"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</row>
    <row r="808"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</row>
    <row r="809"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</row>
    <row r="810"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</row>
    <row r="811"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</row>
    <row r="812"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</row>
    <row r="813"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</row>
    <row r="814"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</row>
    <row r="815"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</row>
    <row r="816"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</row>
    <row r="817"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</row>
    <row r="818"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</row>
    <row r="819"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</row>
    <row r="820"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</row>
    <row r="821"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</row>
    <row r="822"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</row>
    <row r="823"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</row>
    <row r="824"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</row>
    <row r="825"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</row>
    <row r="826"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</row>
    <row r="827"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</row>
    <row r="828"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</row>
    <row r="829"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</row>
    <row r="830"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</row>
    <row r="831"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</row>
    <row r="832"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</row>
    <row r="833"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</row>
    <row r="834"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</row>
    <row r="835"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</row>
    <row r="836"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</row>
    <row r="837"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</row>
    <row r="838"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</row>
    <row r="839"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</row>
    <row r="840"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</row>
    <row r="841"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</row>
    <row r="842"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</row>
    <row r="843"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</row>
    <row r="844"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</row>
    <row r="845"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</row>
    <row r="846"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</row>
    <row r="847"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</row>
    <row r="848"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</row>
    <row r="849"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</row>
    <row r="850"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</row>
    <row r="851"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</row>
    <row r="852"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</row>
    <row r="853"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</row>
    <row r="854"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</row>
    <row r="855"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</row>
    <row r="856"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</row>
    <row r="857"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</row>
    <row r="858"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</row>
    <row r="859"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</row>
    <row r="860"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</row>
    <row r="861"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</row>
    <row r="862"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</row>
    <row r="863"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</row>
    <row r="864"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</row>
    <row r="865"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</row>
    <row r="866"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</row>
    <row r="867"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</row>
    <row r="868"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</row>
    <row r="869"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</row>
    <row r="870"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</row>
    <row r="871"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</row>
    <row r="872"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</row>
    <row r="873"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</row>
    <row r="874"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</row>
    <row r="875"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</row>
    <row r="876"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</row>
    <row r="877"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</row>
    <row r="878"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</row>
    <row r="879"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</row>
    <row r="880"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</row>
    <row r="881"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</row>
    <row r="882"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</row>
    <row r="883"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</row>
    <row r="884"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</row>
    <row r="885"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</row>
    <row r="886"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</row>
    <row r="887"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</row>
    <row r="888"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</row>
    <row r="889"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</row>
    <row r="890"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</row>
    <row r="891"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</row>
    <row r="892"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</row>
    <row r="893"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</row>
    <row r="894"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</row>
    <row r="895"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</row>
    <row r="896"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</row>
    <row r="897"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</row>
    <row r="898"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</row>
    <row r="899"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</row>
    <row r="900"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</row>
    <row r="901"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</row>
    <row r="902"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</row>
    <row r="903"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</row>
    <row r="904"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</row>
    <row r="905"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</row>
    <row r="906"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</row>
    <row r="907"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</row>
    <row r="908"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</row>
    <row r="909"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</row>
    <row r="910"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</row>
    <row r="911"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</row>
    <row r="912"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</row>
    <row r="913"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</row>
    <row r="914"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</row>
    <row r="915"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</row>
    <row r="916"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</row>
    <row r="917"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</row>
    <row r="918"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</row>
    <row r="919"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</row>
    <row r="920"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</row>
    <row r="921"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</row>
    <row r="922"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</row>
    <row r="923"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</row>
    <row r="924"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</row>
    <row r="925"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</row>
    <row r="926"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</row>
    <row r="927"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</row>
    <row r="928"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</row>
    <row r="929"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</row>
    <row r="930"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</row>
    <row r="931"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</row>
    <row r="932"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</row>
    <row r="933"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</row>
    <row r="934"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</row>
    <row r="935"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</row>
    <row r="936"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</row>
    <row r="937"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</row>
    <row r="938"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</row>
    <row r="939"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</row>
    <row r="940"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</row>
    <row r="941"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</row>
    <row r="942"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</row>
    <row r="943"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</row>
    <row r="944"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</row>
    <row r="945"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</row>
    <row r="946"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</row>
    <row r="947"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</row>
    <row r="948"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</row>
    <row r="949"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</row>
    <row r="950"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</row>
    <row r="951"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</row>
    <row r="952"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</row>
    <row r="953"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</row>
    <row r="954"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</row>
    <row r="955"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</row>
    <row r="956"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</row>
    <row r="957"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</row>
    <row r="958"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</row>
    <row r="959"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</row>
    <row r="960"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</row>
    <row r="961"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</row>
    <row r="962"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</row>
    <row r="963"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</row>
    <row r="964"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</row>
    <row r="965"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</row>
    <row r="966"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</row>
    <row r="967"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</row>
    <row r="968"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</row>
    <row r="969"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</row>
    <row r="970"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</row>
    <row r="971"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</row>
    <row r="972"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</row>
    <row r="973"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</row>
    <row r="974"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</row>
    <row r="975"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</row>
    <row r="976"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</row>
    <row r="977"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</row>
    <row r="978"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</row>
    <row r="979"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</row>
    <row r="980"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</row>
    <row r="981"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</row>
    <row r="982"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</row>
    <row r="983"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</row>
    <row r="984"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</row>
    <row r="985"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</row>
    <row r="986"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</row>
    <row r="987"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</row>
  </sheetData>
  <mergeCells count="42">
    <mergeCell ref="L22:M22"/>
    <mergeCell ref="O22:P22"/>
    <mergeCell ref="Q22:R22"/>
    <mergeCell ref="Q23:R23"/>
    <mergeCell ref="J23:K23"/>
    <mergeCell ref="S23:T23"/>
    <mergeCell ref="S22:T22"/>
    <mergeCell ref="V22:W22"/>
    <mergeCell ref="V23:W23"/>
    <mergeCell ref="J22:K22"/>
    <mergeCell ref="L23:M23"/>
    <mergeCell ref="O23:P23"/>
    <mergeCell ref="F23:G23"/>
    <mergeCell ref="H22:I22"/>
    <mergeCell ref="F47:G47"/>
    <mergeCell ref="F46:G46"/>
    <mergeCell ref="H23:I23"/>
    <mergeCell ref="D47:E47"/>
    <mergeCell ref="D46:E46"/>
    <mergeCell ref="H47:I47"/>
    <mergeCell ref="L47:M47"/>
    <mergeCell ref="J47:K47"/>
    <mergeCell ref="L46:M46"/>
    <mergeCell ref="J46:K46"/>
    <mergeCell ref="O47:P47"/>
    <mergeCell ref="O46:P46"/>
    <mergeCell ref="H46:I46"/>
    <mergeCell ref="S46:T46"/>
    <mergeCell ref="Q46:R46"/>
    <mergeCell ref="V46:W46"/>
    <mergeCell ref="Q47:R47"/>
    <mergeCell ref="V47:W47"/>
    <mergeCell ref="S47:T47"/>
    <mergeCell ref="F22:G22"/>
    <mergeCell ref="D22:E22"/>
    <mergeCell ref="D23:E23"/>
    <mergeCell ref="F7:G7"/>
    <mergeCell ref="H7:I7"/>
    <mergeCell ref="A1:E1"/>
    <mergeCell ref="G1:K1"/>
    <mergeCell ref="J7:K7"/>
    <mergeCell ref="D7:E7"/>
  </mergeCells>
  <conditionalFormatting sqref="A1">
    <cfRule type="notContainsBlanks" dxfId="0" priority="1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4" max="14" width="49.71"/>
  </cols>
  <sheetData>
    <row r="2">
      <c r="A2" s="27" t="s">
        <v>77</v>
      </c>
    </row>
    <row r="3">
      <c r="A3" s="27" t="s">
        <v>78</v>
      </c>
    </row>
    <row r="5">
      <c r="A5" s="105" t="s">
        <v>79</v>
      </c>
      <c r="B5" s="8"/>
      <c r="C5" s="8"/>
      <c r="D5" s="8"/>
      <c r="E5" s="9"/>
      <c r="F5" s="78"/>
      <c r="G5" s="105" t="s">
        <v>80</v>
      </c>
      <c r="H5" s="8"/>
      <c r="I5" s="8"/>
      <c r="J5" s="8"/>
      <c r="K5" s="9"/>
    </row>
    <row r="6">
      <c r="A6" s="106" t="s">
        <v>73</v>
      </c>
      <c r="B6" s="94" t="s">
        <v>43</v>
      </c>
      <c r="C6" s="94" t="s">
        <v>44</v>
      </c>
      <c r="D6" s="94" t="s">
        <v>45</v>
      </c>
      <c r="E6" s="94" t="s">
        <v>46</v>
      </c>
      <c r="F6" s="78"/>
      <c r="G6" s="94" t="s">
        <v>73</v>
      </c>
      <c r="H6" s="94" t="s">
        <v>43</v>
      </c>
      <c r="I6" s="94" t="s">
        <v>44</v>
      </c>
      <c r="J6" s="94" t="s">
        <v>45</v>
      </c>
      <c r="K6" s="94" t="s">
        <v>46</v>
      </c>
    </row>
    <row r="7">
      <c r="A7" s="107">
        <v>1.0</v>
      </c>
      <c r="B7" s="108"/>
      <c r="C7" s="86" t="s">
        <v>75</v>
      </c>
      <c r="D7" s="86" t="s">
        <v>75</v>
      </c>
      <c r="E7" s="86" t="s">
        <v>75</v>
      </c>
      <c r="F7" s="78"/>
      <c r="G7" s="97">
        <v>1.0</v>
      </c>
      <c r="H7" s="108"/>
      <c r="I7" s="86" t="s">
        <v>75</v>
      </c>
      <c r="J7" s="86" t="s">
        <v>75</v>
      </c>
      <c r="K7" s="86" t="s">
        <v>75</v>
      </c>
    </row>
    <row r="8">
      <c r="A8" s="107">
        <v>2.0</v>
      </c>
      <c r="B8" s="108"/>
      <c r="C8" s="108"/>
      <c r="D8" s="86" t="s">
        <v>75</v>
      </c>
      <c r="E8" s="86" t="s">
        <v>75</v>
      </c>
      <c r="F8" s="78"/>
      <c r="G8" s="97">
        <v>2.0</v>
      </c>
      <c r="H8" s="108"/>
      <c r="I8" s="108"/>
      <c r="J8" s="86" t="s">
        <v>75</v>
      </c>
      <c r="K8" s="86" t="s">
        <v>75</v>
      </c>
    </row>
    <row r="9">
      <c r="A9" s="107">
        <v>4.0</v>
      </c>
      <c r="B9" s="108"/>
      <c r="C9" s="108"/>
      <c r="D9" s="108"/>
      <c r="E9" s="108"/>
      <c r="F9" s="78"/>
      <c r="G9" s="97">
        <v>4.0</v>
      </c>
      <c r="H9" s="108"/>
      <c r="I9" s="108"/>
      <c r="J9" s="108"/>
      <c r="K9" s="108"/>
    </row>
    <row r="12">
      <c r="A12" s="129"/>
      <c r="B12" s="20" t="s">
        <v>41</v>
      </c>
      <c r="C12" s="20" t="s">
        <v>42</v>
      </c>
      <c r="D12" s="130" t="s">
        <v>43</v>
      </c>
      <c r="E12" s="8"/>
      <c r="F12" s="9"/>
      <c r="G12" s="130" t="s">
        <v>44</v>
      </c>
      <c r="H12" s="8"/>
      <c r="I12" s="9"/>
      <c r="J12" s="130" t="s">
        <v>45</v>
      </c>
      <c r="K12" s="8"/>
      <c r="L12" s="9"/>
      <c r="M12" s="130" t="s">
        <v>46</v>
      </c>
      <c r="N12" s="8"/>
      <c r="O12" s="9"/>
    </row>
    <row r="13">
      <c r="A13" s="24"/>
      <c r="B13" s="24"/>
      <c r="C13" s="24"/>
      <c r="D13" s="25" t="s">
        <v>16</v>
      </c>
      <c r="E13" s="25" t="s">
        <v>0</v>
      </c>
      <c r="F13" s="25" t="s">
        <v>171</v>
      </c>
      <c r="G13" s="26" t="s">
        <v>16</v>
      </c>
      <c r="H13" s="26" t="s">
        <v>0</v>
      </c>
      <c r="I13" s="26" t="s">
        <v>171</v>
      </c>
      <c r="J13" s="25" t="s">
        <v>16</v>
      </c>
      <c r="K13" s="25" t="s">
        <v>0</v>
      </c>
      <c r="L13" s="25" t="s">
        <v>171</v>
      </c>
      <c r="M13" s="26" t="s">
        <v>16</v>
      </c>
      <c r="N13" s="26" t="s">
        <v>0</v>
      </c>
      <c r="O13" s="26" t="s">
        <v>171</v>
      </c>
    </row>
    <row r="14">
      <c r="A14" s="24" t="s">
        <v>91</v>
      </c>
      <c r="B14" s="24">
        <v>10000.0</v>
      </c>
      <c r="C14" s="24">
        <v>0.0</v>
      </c>
      <c r="D14" s="28" t="s">
        <v>224</v>
      </c>
      <c r="E14" s="28" t="s">
        <v>225</v>
      </c>
      <c r="F14" s="30"/>
      <c r="G14" s="29" t="s">
        <v>226</v>
      </c>
      <c r="H14" s="154"/>
      <c r="I14" s="154"/>
      <c r="J14" s="30" t="s">
        <v>227</v>
      </c>
      <c r="K14" s="137"/>
      <c r="L14" s="137"/>
      <c r="M14" s="155" t="s">
        <v>228</v>
      </c>
      <c r="N14" s="156"/>
      <c r="O14" s="156"/>
    </row>
    <row r="15">
      <c r="A15" s="24" t="s">
        <v>82</v>
      </c>
      <c r="B15" s="24">
        <v>10000.0</v>
      </c>
      <c r="C15" s="24">
        <v>1024.0</v>
      </c>
      <c r="D15" s="157"/>
      <c r="E15" s="157"/>
      <c r="F15" s="157"/>
      <c r="G15" s="156"/>
      <c r="H15" s="156"/>
      <c r="I15" s="156"/>
      <c r="J15" s="157"/>
      <c r="K15" s="157"/>
      <c r="L15" s="157"/>
      <c r="M15" s="156"/>
      <c r="N15" s="156"/>
      <c r="O15" s="156"/>
    </row>
    <row r="16">
      <c r="A16" s="24" t="s">
        <v>83</v>
      </c>
      <c r="B16" s="24">
        <v>1000.0</v>
      </c>
      <c r="C16" s="24" t="str">
        <f t="shared" ref="C16:C22" si="1">C15*10</f>
        <v>10240</v>
      </c>
      <c r="D16" s="30"/>
      <c r="E16" s="30"/>
      <c r="F16" s="30"/>
      <c r="G16" s="29"/>
      <c r="H16" s="154"/>
      <c r="I16" s="29"/>
      <c r="J16" s="30"/>
      <c r="K16" s="30"/>
      <c r="L16" s="30"/>
      <c r="M16" s="156"/>
      <c r="N16" s="156"/>
      <c r="O16" s="156"/>
    </row>
    <row r="17">
      <c r="A17" s="24" t="s">
        <v>84</v>
      </c>
      <c r="B17" s="24">
        <v>1000.0</v>
      </c>
      <c r="C17" s="24" t="str">
        <f t="shared" si="1"/>
        <v>102400</v>
      </c>
      <c r="D17" s="30"/>
      <c r="E17" s="30"/>
      <c r="F17" s="30"/>
      <c r="G17" s="29"/>
      <c r="H17" s="154"/>
      <c r="I17" s="29"/>
      <c r="J17" s="30"/>
      <c r="K17" s="30"/>
      <c r="L17" s="30"/>
      <c r="M17" s="155"/>
      <c r="N17" s="156"/>
      <c r="O17" s="156"/>
    </row>
    <row r="18">
      <c r="A18" s="24" t="s">
        <v>85</v>
      </c>
      <c r="B18" s="24">
        <v>1000.0</v>
      </c>
      <c r="C18" s="24" t="str">
        <f t="shared" si="1"/>
        <v>1024000</v>
      </c>
      <c r="D18" s="30"/>
      <c r="E18" s="30"/>
      <c r="F18" s="30"/>
      <c r="G18" s="29"/>
      <c r="H18" s="154"/>
      <c r="I18" s="29"/>
      <c r="J18" s="30"/>
      <c r="K18" s="30"/>
      <c r="L18" s="30"/>
      <c r="M18" s="155"/>
      <c r="N18" s="156"/>
      <c r="O18" s="156"/>
    </row>
    <row r="19">
      <c r="A19" s="24" t="s">
        <v>86</v>
      </c>
      <c r="B19" s="24">
        <v>1000.0</v>
      </c>
      <c r="C19" s="24" t="str">
        <f t="shared" si="1"/>
        <v>10240000</v>
      </c>
      <c r="D19" s="30"/>
      <c r="E19" s="30"/>
      <c r="F19" s="30"/>
      <c r="G19" s="29"/>
      <c r="H19" s="154"/>
      <c r="I19" s="29"/>
      <c r="J19" s="30"/>
      <c r="K19" s="30"/>
      <c r="L19" s="30"/>
      <c r="M19" s="155"/>
      <c r="N19" s="156"/>
      <c r="O19" s="156"/>
    </row>
    <row r="20">
      <c r="A20" s="24" t="s">
        <v>87</v>
      </c>
      <c r="B20" s="24">
        <v>100.0</v>
      </c>
      <c r="C20" s="24" t="str">
        <f t="shared" si="1"/>
        <v>102400000</v>
      </c>
      <c r="D20" s="30"/>
      <c r="E20" s="30"/>
      <c r="F20" s="30"/>
      <c r="G20" s="29"/>
      <c r="H20" s="154"/>
      <c r="I20" s="29"/>
      <c r="J20" s="30"/>
      <c r="K20" s="30"/>
      <c r="L20" s="30"/>
      <c r="M20" s="156"/>
      <c r="N20" s="156"/>
      <c r="O20" s="156"/>
    </row>
    <row r="21">
      <c r="A21" s="24" t="s">
        <v>88</v>
      </c>
      <c r="B21" s="24">
        <v>10.0</v>
      </c>
      <c r="C21" s="24" t="str">
        <f t="shared" si="1"/>
        <v>1024000000</v>
      </c>
      <c r="D21" s="30"/>
      <c r="E21" s="30"/>
      <c r="F21" s="30"/>
      <c r="G21" s="29"/>
      <c r="H21" s="154"/>
      <c r="I21" s="29"/>
      <c r="J21" s="30"/>
      <c r="K21" s="30"/>
      <c r="L21" s="30"/>
      <c r="M21" s="156"/>
      <c r="N21" s="156"/>
      <c r="O21" s="156"/>
    </row>
    <row r="22">
      <c r="A22" s="24" t="s">
        <v>89</v>
      </c>
      <c r="B22" s="24">
        <v>1.0</v>
      </c>
      <c r="C22" s="24" t="str">
        <f t="shared" si="1"/>
        <v>10240000000</v>
      </c>
      <c r="D22" s="30"/>
      <c r="E22" s="30"/>
      <c r="F22" s="30"/>
      <c r="G22" s="29"/>
      <c r="H22" s="154"/>
      <c r="I22" s="29"/>
      <c r="J22" s="30"/>
      <c r="K22" s="30"/>
      <c r="L22" s="30"/>
      <c r="M22" s="156"/>
      <c r="N22" s="156"/>
      <c r="O22" s="156"/>
    </row>
    <row r="24">
      <c r="D24" s="24" t="s">
        <v>229</v>
      </c>
      <c r="E24" s="24" t="s">
        <v>230</v>
      </c>
      <c r="F24" s="24" t="s">
        <v>231</v>
      </c>
      <c r="G24" s="24" t="s">
        <v>232</v>
      </c>
      <c r="H24" s="13"/>
      <c r="I24" s="24" t="s">
        <v>233</v>
      </c>
      <c r="J24" s="24" t="s">
        <v>234</v>
      </c>
      <c r="K24" s="24" t="s">
        <v>235</v>
      </c>
      <c r="L24" s="24" t="s">
        <v>236</v>
      </c>
    </row>
    <row r="26">
      <c r="A26" s="129"/>
      <c r="B26" s="20" t="s">
        <v>41</v>
      </c>
      <c r="C26" s="20" t="s">
        <v>42</v>
      </c>
      <c r="D26" s="130" t="s">
        <v>43</v>
      </c>
      <c r="E26" s="8"/>
      <c r="F26" s="158"/>
    </row>
    <row r="27">
      <c r="A27" s="24"/>
      <c r="B27" s="24"/>
      <c r="C27" s="24"/>
      <c r="D27" s="25" t="s">
        <v>16</v>
      </c>
      <c r="E27" s="159" t="s">
        <v>0</v>
      </c>
      <c r="F27" s="160"/>
    </row>
    <row r="28">
      <c r="A28" s="24" t="s">
        <v>91</v>
      </c>
      <c r="B28" s="24">
        <v>10000.0</v>
      </c>
      <c r="C28" s="24">
        <v>0.0</v>
      </c>
      <c r="D28" s="28">
        <v>2127.356</v>
      </c>
      <c r="E28" s="161">
        <v>476.448</v>
      </c>
      <c r="F28" s="27"/>
    </row>
    <row r="29">
      <c r="A29" s="24" t="s">
        <v>82</v>
      </c>
      <c r="B29" s="24">
        <v>10000.0</v>
      </c>
      <c r="C29" s="24">
        <v>1024.0</v>
      </c>
      <c r="D29" s="33">
        <v>2939.896</v>
      </c>
      <c r="E29" s="33">
        <v>788.488</v>
      </c>
    </row>
    <row r="30">
      <c r="A30" s="24" t="s">
        <v>83</v>
      </c>
      <c r="B30" s="24">
        <v>1000.0</v>
      </c>
      <c r="C30" s="24" t="str">
        <f t="shared" ref="C30:C36" si="2">C29*10</f>
        <v>10240</v>
      </c>
      <c r="D30" s="30">
        <v>312.25</v>
      </c>
      <c r="E30" s="162">
        <v>104.212</v>
      </c>
      <c r="F30" s="27"/>
    </row>
    <row r="31">
      <c r="A31" s="24" t="s">
        <v>84</v>
      </c>
      <c r="B31" s="24">
        <v>1000.0</v>
      </c>
      <c r="C31" s="24" t="str">
        <f t="shared" si="2"/>
        <v>102400</v>
      </c>
      <c r="D31" s="30">
        <v>369.643</v>
      </c>
      <c r="E31" s="162">
        <v>118.061</v>
      </c>
      <c r="F31" s="27"/>
    </row>
    <row r="32">
      <c r="A32" s="24" t="s">
        <v>85</v>
      </c>
      <c r="B32" s="24">
        <v>1000.0</v>
      </c>
      <c r="C32" s="24" t="str">
        <f t="shared" si="2"/>
        <v>1024000</v>
      </c>
      <c r="D32" s="30">
        <v>439.747</v>
      </c>
      <c r="E32" s="162">
        <v>138.381</v>
      </c>
      <c r="F32" s="27"/>
    </row>
    <row r="33">
      <c r="A33" s="24" t="s">
        <v>86</v>
      </c>
      <c r="B33" s="24">
        <v>1000.0</v>
      </c>
      <c r="C33" s="24" t="str">
        <f t="shared" si="2"/>
        <v>10240000</v>
      </c>
      <c r="D33" s="30">
        <v>1285.966</v>
      </c>
      <c r="E33" s="162">
        <v>267.105</v>
      </c>
      <c r="F33" s="27"/>
    </row>
    <row r="34">
      <c r="A34" s="24" t="s">
        <v>87</v>
      </c>
      <c r="B34" s="24">
        <v>100.0</v>
      </c>
      <c r="C34" s="24" t="str">
        <f t="shared" si="2"/>
        <v>102400000</v>
      </c>
      <c r="D34" s="30">
        <v>839.861</v>
      </c>
      <c r="E34" s="162">
        <v>120.132</v>
      </c>
      <c r="F34" s="27"/>
    </row>
    <row r="35">
      <c r="A35" s="24" t="s">
        <v>88</v>
      </c>
      <c r="B35" s="24">
        <v>10.0</v>
      </c>
      <c r="C35" s="24" t="str">
        <f t="shared" si="2"/>
        <v>1024000000</v>
      </c>
      <c r="D35" s="30">
        <v>714.952</v>
      </c>
      <c r="E35" s="162">
        <v>152.89</v>
      </c>
      <c r="F35" s="27"/>
    </row>
    <row r="36">
      <c r="A36" s="24" t="s">
        <v>89</v>
      </c>
      <c r="B36" s="24">
        <v>1.0</v>
      </c>
      <c r="C36" s="24" t="str">
        <f t="shared" si="2"/>
        <v>10240000000</v>
      </c>
      <c r="D36" s="30">
        <v>1128.058</v>
      </c>
      <c r="E36" s="162">
        <v>136.799</v>
      </c>
      <c r="F36" s="27"/>
    </row>
    <row r="40">
      <c r="A40" s="129"/>
      <c r="B40" s="20" t="s">
        <v>41</v>
      </c>
      <c r="C40" s="20" t="s">
        <v>42</v>
      </c>
      <c r="D40" s="130" t="s">
        <v>43</v>
      </c>
      <c r="E40" s="8"/>
      <c r="F40" s="9"/>
      <c r="G40" s="130" t="s">
        <v>44</v>
      </c>
      <c r="H40" s="8"/>
      <c r="I40" s="9"/>
    </row>
    <row r="41">
      <c r="A41" s="24"/>
      <c r="B41" s="24"/>
      <c r="C41" s="24"/>
      <c r="D41" s="25" t="s">
        <v>16</v>
      </c>
      <c r="E41" s="25" t="s">
        <v>0</v>
      </c>
      <c r="F41" s="25" t="s">
        <v>171</v>
      </c>
      <c r="G41" s="26" t="s">
        <v>16</v>
      </c>
      <c r="H41" s="26" t="s">
        <v>0</v>
      </c>
      <c r="I41" s="26" t="s">
        <v>171</v>
      </c>
    </row>
    <row r="42">
      <c r="A42" s="24" t="s">
        <v>91</v>
      </c>
      <c r="B42" s="24">
        <v>10000.0</v>
      </c>
      <c r="C42" s="24">
        <v>0.0</v>
      </c>
      <c r="D42" s="28"/>
      <c r="E42" s="28"/>
      <c r="F42" s="30"/>
      <c r="G42" s="29"/>
      <c r="H42" s="154"/>
      <c r="I42" s="154"/>
    </row>
    <row r="43">
      <c r="A43" s="24" t="s">
        <v>82</v>
      </c>
      <c r="B43" s="24">
        <v>10000.0</v>
      </c>
      <c r="C43" s="24">
        <v>1024.0</v>
      </c>
      <c r="D43" s="157"/>
      <c r="E43" s="157"/>
      <c r="F43" s="157"/>
      <c r="G43" s="156"/>
      <c r="H43" s="156"/>
      <c r="I43" s="156"/>
    </row>
    <row r="44">
      <c r="A44" s="24" t="s">
        <v>83</v>
      </c>
      <c r="B44" s="24">
        <v>1000.0</v>
      </c>
      <c r="C44" s="24" t="str">
        <f t="shared" ref="C44:C50" si="3">C43*10</f>
        <v>10240</v>
      </c>
      <c r="D44" s="30"/>
      <c r="E44" s="30"/>
      <c r="F44" s="30"/>
      <c r="G44" s="29"/>
      <c r="H44" s="154"/>
      <c r="I44" s="29"/>
    </row>
    <row r="45">
      <c r="A45" s="24" t="s">
        <v>84</v>
      </c>
      <c r="B45" s="24">
        <v>1000.0</v>
      </c>
      <c r="C45" s="24" t="str">
        <f t="shared" si="3"/>
        <v>102400</v>
      </c>
      <c r="D45" s="30"/>
      <c r="E45" s="30"/>
      <c r="F45" s="30"/>
      <c r="G45" s="29"/>
      <c r="H45" s="154"/>
      <c r="I45" s="29"/>
    </row>
    <row r="46">
      <c r="A46" s="24" t="s">
        <v>85</v>
      </c>
      <c r="B46" s="24">
        <v>1000.0</v>
      </c>
      <c r="C46" s="24" t="str">
        <f t="shared" si="3"/>
        <v>1024000</v>
      </c>
      <c r="D46" s="30"/>
      <c r="E46" s="30"/>
      <c r="F46" s="30"/>
      <c r="G46" s="29"/>
      <c r="H46" s="154"/>
      <c r="I46" s="29"/>
    </row>
    <row r="47">
      <c r="A47" s="24" t="s">
        <v>86</v>
      </c>
      <c r="B47" s="24">
        <v>1000.0</v>
      </c>
      <c r="C47" s="24" t="str">
        <f t="shared" si="3"/>
        <v>10240000</v>
      </c>
      <c r="D47" s="30"/>
      <c r="E47" s="30"/>
      <c r="F47" s="30"/>
      <c r="G47" s="29"/>
      <c r="H47" s="154"/>
      <c r="I47" s="29"/>
    </row>
    <row r="48">
      <c r="A48" s="24" t="s">
        <v>87</v>
      </c>
      <c r="B48" s="24">
        <v>100.0</v>
      </c>
      <c r="C48" s="24" t="str">
        <f t="shared" si="3"/>
        <v>102400000</v>
      </c>
      <c r="D48" s="30"/>
      <c r="E48" s="30"/>
      <c r="F48" s="30"/>
      <c r="G48" s="29"/>
      <c r="H48" s="154"/>
      <c r="I48" s="29"/>
    </row>
    <row r="49">
      <c r="A49" s="24" t="s">
        <v>88</v>
      </c>
      <c r="B49" s="24">
        <v>10.0</v>
      </c>
      <c r="C49" s="24" t="str">
        <f t="shared" si="3"/>
        <v>1024000000</v>
      </c>
      <c r="D49" s="30"/>
      <c r="E49" s="30"/>
      <c r="F49" s="30"/>
      <c r="G49" s="29"/>
      <c r="H49" s="154"/>
      <c r="I49" s="29"/>
    </row>
    <row r="50">
      <c r="A50" s="24" t="s">
        <v>89</v>
      </c>
      <c r="B50" s="24">
        <v>1.0</v>
      </c>
      <c r="C50" s="24" t="str">
        <f t="shared" si="3"/>
        <v>10240000000</v>
      </c>
      <c r="D50" s="30"/>
      <c r="E50" s="30"/>
      <c r="F50" s="30"/>
      <c r="G50" s="29"/>
      <c r="H50" s="154"/>
      <c r="I50" s="29"/>
    </row>
    <row r="52">
      <c r="Q52" s="163" t="s">
        <v>50</v>
      </c>
      <c r="S52" s="27"/>
    </row>
    <row r="53">
      <c r="Q53" s="164" t="s">
        <v>237</v>
      </c>
      <c r="R53" s="29" t="s">
        <v>238</v>
      </c>
    </row>
    <row r="54">
      <c r="Q54" s="165" t="s">
        <v>239</v>
      </c>
      <c r="R54" s="166">
        <v>1.0</v>
      </c>
    </row>
    <row r="55">
      <c r="Q55" s="165" t="s">
        <v>240</v>
      </c>
      <c r="R55" s="167" t="s">
        <v>241</v>
      </c>
    </row>
    <row r="56">
      <c r="Q56" s="164" t="s">
        <v>242</v>
      </c>
      <c r="R56" s="168" t="s">
        <v>243</v>
      </c>
    </row>
    <row r="57">
      <c r="Q57" s="165" t="s">
        <v>244</v>
      </c>
      <c r="R57" s="167" t="s">
        <v>245</v>
      </c>
      <c r="S57" s="169" t="s">
        <v>246</v>
      </c>
    </row>
    <row r="58">
      <c r="Q58" s="164" t="s">
        <v>247</v>
      </c>
      <c r="R58" s="29" t="s">
        <v>248</v>
      </c>
      <c r="S58" s="155" t="s">
        <v>249</v>
      </c>
    </row>
    <row r="59">
      <c r="Q59" s="170"/>
    </row>
    <row r="60">
      <c r="Q60" s="170"/>
    </row>
    <row r="61">
      <c r="Q61" s="170"/>
    </row>
    <row r="62">
      <c r="Q62" s="171" t="s">
        <v>250</v>
      </c>
      <c r="R62" s="172" t="s">
        <v>251</v>
      </c>
    </row>
    <row r="63">
      <c r="R63" s="172" t="s">
        <v>252</v>
      </c>
    </row>
    <row r="66">
      <c r="R66" s="27" t="s">
        <v>28</v>
      </c>
    </row>
    <row r="67">
      <c r="R67" s="27">
        <v>2218.815</v>
      </c>
    </row>
    <row r="68">
      <c r="R68" s="27">
        <v>2202.296</v>
      </c>
    </row>
    <row r="69">
      <c r="R69" s="27">
        <v>2137.621</v>
      </c>
    </row>
    <row r="70">
      <c r="R70" s="27">
        <v>2188.972</v>
      </c>
    </row>
  </sheetData>
  <mergeCells count="10">
    <mergeCell ref="G12:I12"/>
    <mergeCell ref="J12:L12"/>
    <mergeCell ref="M12:O12"/>
    <mergeCell ref="Q62:Q63"/>
    <mergeCell ref="A5:E5"/>
    <mergeCell ref="G5:K5"/>
    <mergeCell ref="D40:F40"/>
    <mergeCell ref="G40:I40"/>
    <mergeCell ref="D12:F12"/>
    <mergeCell ref="D26:E26"/>
  </mergeCells>
  <conditionalFormatting sqref="A5 R57">
    <cfRule type="notContainsBlanks" dxfId="0" priority="1">
      <formula>LEN(TRIM(A5))&gt;0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86"/>
    <col customWidth="1" min="7" max="7" width="54.43"/>
    <col customWidth="1" min="9" max="9" width="19.57"/>
    <col customWidth="1" min="11" max="11" width="20.0"/>
  </cols>
  <sheetData>
    <row r="1">
      <c r="A1" s="173" t="s">
        <v>253</v>
      </c>
      <c r="B1" s="27" t="s">
        <v>254</v>
      </c>
      <c r="C1" s="27" t="s">
        <v>255</v>
      </c>
      <c r="D1" s="27" t="s">
        <v>256</v>
      </c>
    </row>
    <row r="3">
      <c r="B3" s="27" t="s">
        <v>257</v>
      </c>
    </row>
    <row r="4">
      <c r="B4" s="27" t="s">
        <v>258</v>
      </c>
    </row>
    <row r="5">
      <c r="B5" s="27" t="s">
        <v>259</v>
      </c>
    </row>
    <row r="6">
      <c r="B6" s="27" t="s">
        <v>260</v>
      </c>
    </row>
    <row r="7">
      <c r="B7" s="27" t="s">
        <v>261</v>
      </c>
    </row>
    <row r="8">
      <c r="B8" s="27" t="s">
        <v>262</v>
      </c>
    </row>
    <row r="9">
      <c r="B9" s="27" t="s">
        <v>263</v>
      </c>
    </row>
    <row r="10">
      <c r="B10" s="27"/>
      <c r="G10" s="27" t="s">
        <v>264</v>
      </c>
    </row>
    <row r="11">
      <c r="B11" s="27"/>
      <c r="G11" s="24"/>
      <c r="H11" s="13"/>
      <c r="I11" s="13"/>
    </row>
    <row r="12">
      <c r="G12" s="24" t="s">
        <v>265</v>
      </c>
      <c r="H12" s="20" t="s">
        <v>81</v>
      </c>
      <c r="I12" s="20" t="s">
        <v>41</v>
      </c>
      <c r="J12" s="20" t="s">
        <v>42</v>
      </c>
      <c r="K12" s="20" t="s">
        <v>266</v>
      </c>
      <c r="M12" s="174" t="s">
        <v>267</v>
      </c>
    </row>
    <row r="13">
      <c r="G13" s="13"/>
      <c r="H13" s="24" t="s">
        <v>91</v>
      </c>
      <c r="I13" s="24">
        <v>10000.0</v>
      </c>
      <c r="J13" s="24">
        <v>0.0</v>
      </c>
      <c r="K13" s="116" t="str">
        <f t="shared" ref="K13:K25" si="1">I13*J13</f>
        <v>0</v>
      </c>
      <c r="M13" s="174">
        <v>0.0</v>
      </c>
    </row>
    <row r="14">
      <c r="G14" s="13"/>
      <c r="H14" s="24" t="s">
        <v>82</v>
      </c>
      <c r="I14" s="24">
        <v>10000.0</v>
      </c>
      <c r="J14" s="24">
        <v>1024.0</v>
      </c>
      <c r="K14" s="116" t="str">
        <f t="shared" si="1"/>
        <v>10240000</v>
      </c>
      <c r="M14" s="174">
        <v>1024.0</v>
      </c>
    </row>
    <row r="15">
      <c r="G15" s="13"/>
      <c r="H15" s="24" t="s">
        <v>83</v>
      </c>
      <c r="I15" s="24">
        <v>1000.0</v>
      </c>
      <c r="J15" s="24" t="str">
        <f t="shared" ref="J15:J21" si="2">J14*10</f>
        <v>10240</v>
      </c>
      <c r="K15" s="116" t="str">
        <f t="shared" si="1"/>
        <v>10240000</v>
      </c>
      <c r="M15" s="174" t="str">
        <f t="shared" ref="M15:M16" si="3">M14*10</f>
        <v>10240</v>
      </c>
    </row>
    <row r="16">
      <c r="G16" s="13"/>
      <c r="H16" s="24" t="s">
        <v>84</v>
      </c>
      <c r="I16" s="24">
        <v>1000.0</v>
      </c>
      <c r="J16" s="24" t="str">
        <f t="shared" si="2"/>
        <v>102400</v>
      </c>
      <c r="K16" s="116" t="str">
        <f t="shared" si="1"/>
        <v>102400000</v>
      </c>
      <c r="M16" s="174" t="str">
        <f t="shared" si="3"/>
        <v>102400</v>
      </c>
    </row>
    <row r="17">
      <c r="E17" s="27" t="s">
        <v>268</v>
      </c>
      <c r="G17" s="13"/>
      <c r="H17" s="24" t="s">
        <v>85</v>
      </c>
      <c r="I17" s="24">
        <v>1000.0</v>
      </c>
      <c r="J17" s="24" t="str">
        <f t="shared" si="2"/>
        <v>1024000</v>
      </c>
      <c r="K17" s="116" t="str">
        <f t="shared" si="1"/>
        <v>1024000000</v>
      </c>
      <c r="M17" s="174">
        <v>1048576.0</v>
      </c>
    </row>
    <row r="18">
      <c r="E18" s="27" t="s">
        <v>269</v>
      </c>
      <c r="G18" s="13"/>
      <c r="H18" s="24" t="s">
        <v>86</v>
      </c>
      <c r="I18" s="24">
        <v>1000.0</v>
      </c>
      <c r="J18" s="24" t="str">
        <f t="shared" si="2"/>
        <v>10240000</v>
      </c>
      <c r="K18" s="116" t="str">
        <f t="shared" si="1"/>
        <v>10240000000</v>
      </c>
      <c r="M18" s="174">
        <v>1.048576E7</v>
      </c>
    </row>
    <row r="19">
      <c r="G19" s="13"/>
      <c r="H19" s="24" t="s">
        <v>87</v>
      </c>
      <c r="I19" s="24">
        <v>100.0</v>
      </c>
      <c r="J19" s="24" t="str">
        <f t="shared" si="2"/>
        <v>102400000</v>
      </c>
      <c r="K19" s="116" t="str">
        <f t="shared" si="1"/>
        <v>10240000000</v>
      </c>
      <c r="M19" s="174">
        <v>1.048576E8</v>
      </c>
    </row>
    <row r="20">
      <c r="G20" s="13"/>
      <c r="H20" s="24" t="s">
        <v>88</v>
      </c>
      <c r="I20" s="24">
        <v>10.0</v>
      </c>
      <c r="J20" s="24" t="str">
        <f t="shared" si="2"/>
        <v>1024000000</v>
      </c>
      <c r="K20" s="116" t="str">
        <f t="shared" si="1"/>
        <v>10240000000</v>
      </c>
      <c r="M20" s="174">
        <v>1.073741824E9</v>
      </c>
    </row>
    <row r="21">
      <c r="G21" s="13"/>
      <c r="H21" s="24" t="s">
        <v>89</v>
      </c>
      <c r="I21" s="24">
        <v>1.0</v>
      </c>
      <c r="J21" s="24" t="str">
        <f t="shared" si="2"/>
        <v>10240000000</v>
      </c>
      <c r="K21" s="116" t="str">
        <f t="shared" si="1"/>
        <v>10240000000</v>
      </c>
      <c r="M21" s="174">
        <v>1.073741824E10</v>
      </c>
    </row>
    <row r="22">
      <c r="G22" s="13"/>
      <c r="H22" s="24"/>
      <c r="I22" s="24"/>
      <c r="J22" s="27">
        <v>0.0</v>
      </c>
      <c r="K22" t="str">
        <f t="shared" si="1"/>
        <v>0</v>
      </c>
    </row>
    <row r="23">
      <c r="G23" s="13"/>
      <c r="H23" s="24"/>
      <c r="I23" s="24"/>
      <c r="J23" t="str">
        <f t="shared" ref="J23:J25" si="4">J22*4</f>
        <v>0</v>
      </c>
      <c r="K23" t="str">
        <f t="shared" si="1"/>
        <v>0</v>
      </c>
    </row>
    <row r="24">
      <c r="G24" s="13"/>
      <c r="H24" s="24"/>
      <c r="I24" s="24"/>
      <c r="J24" t="str">
        <f t="shared" si="4"/>
        <v>0</v>
      </c>
      <c r="K24" t="str">
        <f t="shared" si="1"/>
        <v>0</v>
      </c>
    </row>
    <row r="25">
      <c r="G25" s="13"/>
      <c r="H25" s="24"/>
      <c r="I25" s="24"/>
      <c r="J25" t="str">
        <f t="shared" si="4"/>
        <v>0</v>
      </c>
      <c r="K25" t="str">
        <f t="shared" si="1"/>
        <v>0</v>
      </c>
    </row>
    <row r="27">
      <c r="I27" t="str">
        <f>SUM(I13:I25)</f>
        <v>24111</v>
      </c>
      <c r="K27" t="str">
        <f>SUM(K14:K25)/(1024*1024*1024)</f>
        <v>39.21508789</v>
      </c>
    </row>
    <row r="28">
      <c r="G28" s="27" t="s">
        <v>270</v>
      </c>
    </row>
    <row r="29">
      <c r="G29" s="27" t="s">
        <v>271</v>
      </c>
    </row>
    <row r="30">
      <c r="G30" s="27" t="s">
        <v>272</v>
      </c>
    </row>
    <row r="31">
      <c r="G31" s="27" t="s">
        <v>273</v>
      </c>
    </row>
    <row r="32">
      <c r="G32" s="27" t="s">
        <v>274</v>
      </c>
    </row>
    <row r="34">
      <c r="G34" s="27" t="s">
        <v>275</v>
      </c>
      <c r="H34" s="27" t="s">
        <v>276</v>
      </c>
    </row>
    <row r="35">
      <c r="G35" s="109">
        <v>1.0</v>
      </c>
      <c r="H35" s="27">
        <v>1.0</v>
      </c>
    </row>
    <row r="36">
      <c r="G36" s="109">
        <v>2.0</v>
      </c>
      <c r="H36" s="27">
        <v>2.0</v>
      </c>
    </row>
    <row r="37">
      <c r="G37" s="109">
        <v>4.0</v>
      </c>
      <c r="H37" s="27">
        <v>4.0</v>
      </c>
    </row>
    <row r="38">
      <c r="G38" s="27">
        <v>16.0</v>
      </c>
      <c r="H38" s="27">
        <v>8.0</v>
      </c>
    </row>
    <row r="39">
      <c r="G39" s="27">
        <v>64.0</v>
      </c>
      <c r="H39" s="27">
        <v>16.0</v>
      </c>
    </row>
    <row r="40">
      <c r="H40" s="27">
        <v>32.0</v>
      </c>
    </row>
    <row r="41">
      <c r="H41" s="27">
        <v>64.0</v>
      </c>
    </row>
    <row r="52">
      <c r="C52" s="175" t="s">
        <v>277</v>
      </c>
      <c r="D52" s="176"/>
      <c r="E52" s="176"/>
    </row>
    <row r="53">
      <c r="C53" s="175" t="s">
        <v>278</v>
      </c>
      <c r="D53" s="175" t="s">
        <v>279</v>
      </c>
      <c r="E53" s="175" t="s">
        <v>280</v>
      </c>
    </row>
    <row r="54">
      <c r="B54" s="13"/>
      <c r="C54" s="110" t="s">
        <v>16</v>
      </c>
      <c r="D54" s="9"/>
      <c r="E54" s="110" t="s">
        <v>0</v>
      </c>
      <c r="F54" s="9"/>
      <c r="G54" s="13"/>
    </row>
    <row r="55">
      <c r="B55" s="13"/>
      <c r="C55" s="177" t="s">
        <v>281</v>
      </c>
      <c r="D55" s="177" t="s">
        <v>282</v>
      </c>
      <c r="E55" s="177" t="s">
        <v>283</v>
      </c>
      <c r="F55" s="177" t="s">
        <v>282</v>
      </c>
      <c r="G55" s="13"/>
    </row>
    <row r="56">
      <c r="B56" s="24" t="s">
        <v>284</v>
      </c>
      <c r="C56" s="178" t="s">
        <v>285</v>
      </c>
      <c r="D56" s="179" t="s">
        <v>286</v>
      </c>
      <c r="E56" s="180" t="s">
        <v>287</v>
      </c>
      <c r="F56" s="181" t="s">
        <v>288</v>
      </c>
      <c r="G56" s="182" t="s">
        <v>289</v>
      </c>
    </row>
    <row r="57">
      <c r="B57" s="24" t="s">
        <v>290</v>
      </c>
      <c r="C57" s="178" t="s">
        <v>291</v>
      </c>
      <c r="D57" s="179" t="s">
        <v>292</v>
      </c>
      <c r="E57" s="180" t="s">
        <v>293</v>
      </c>
      <c r="F57" s="181" t="s">
        <v>294</v>
      </c>
      <c r="G57" s="182" t="s">
        <v>295</v>
      </c>
    </row>
    <row r="58">
      <c r="B58" s="24" t="s">
        <v>296</v>
      </c>
      <c r="C58" s="178" t="s">
        <v>297</v>
      </c>
      <c r="D58" s="179" t="s">
        <v>298</v>
      </c>
      <c r="E58" s="180" t="s">
        <v>299</v>
      </c>
      <c r="F58" s="181" t="s">
        <v>300</v>
      </c>
      <c r="G58" s="182" t="s">
        <v>301</v>
      </c>
    </row>
    <row r="59">
      <c r="B59" s="24" t="s">
        <v>302</v>
      </c>
      <c r="C59" s="178" t="s">
        <v>303</v>
      </c>
      <c r="D59" s="179" t="s">
        <v>304</v>
      </c>
      <c r="E59" s="180" t="s">
        <v>305</v>
      </c>
      <c r="F59" s="181" t="s">
        <v>306</v>
      </c>
      <c r="G59" s="182" t="s">
        <v>307</v>
      </c>
    </row>
    <row r="60">
      <c r="B60" s="24" t="s">
        <v>308</v>
      </c>
      <c r="C60" s="178" t="s">
        <v>309</v>
      </c>
      <c r="D60" s="179" t="s">
        <v>310</v>
      </c>
      <c r="E60" s="180" t="s">
        <v>311</v>
      </c>
      <c r="F60" s="181" t="s">
        <v>312</v>
      </c>
      <c r="G60" s="182" t="s">
        <v>313</v>
      </c>
    </row>
    <row r="61">
      <c r="B61" s="24" t="s">
        <v>314</v>
      </c>
      <c r="C61" s="178" t="s">
        <v>315</v>
      </c>
      <c r="D61" s="179" t="s">
        <v>316</v>
      </c>
      <c r="E61" s="180" t="s">
        <v>317</v>
      </c>
      <c r="F61" s="181" t="s">
        <v>318</v>
      </c>
      <c r="G61" s="182" t="s">
        <v>319</v>
      </c>
    </row>
    <row r="62">
      <c r="B62" s="24" t="s">
        <v>320</v>
      </c>
      <c r="C62" s="178" t="s">
        <v>321</v>
      </c>
      <c r="D62" s="179" t="s">
        <v>322</v>
      </c>
      <c r="E62" s="180" t="s">
        <v>323</v>
      </c>
      <c r="F62" s="181" t="s">
        <v>324</v>
      </c>
      <c r="G62" s="182" t="s">
        <v>325</v>
      </c>
    </row>
    <row r="63">
      <c r="B63" s="24" t="s">
        <v>326</v>
      </c>
      <c r="C63" s="178" t="s">
        <v>327</v>
      </c>
      <c r="D63" s="179" t="s">
        <v>328</v>
      </c>
      <c r="E63" s="180" t="s">
        <v>329</v>
      </c>
      <c r="F63" s="183" t="s">
        <v>330</v>
      </c>
      <c r="G63" s="182" t="s">
        <v>331</v>
      </c>
    </row>
    <row r="64">
      <c r="I64" s="184"/>
      <c r="K64" s="184"/>
      <c r="M64" s="185"/>
      <c r="N64" s="186"/>
      <c r="O64" s="186"/>
      <c r="P64" s="186"/>
      <c r="Q64" s="186"/>
    </row>
    <row r="65">
      <c r="C65" s="175" t="s">
        <v>332</v>
      </c>
      <c r="I65" s="185"/>
      <c r="J65" s="187"/>
      <c r="K65" s="187"/>
      <c r="L65" s="187"/>
      <c r="M65" s="187"/>
      <c r="N65" s="186"/>
      <c r="O65" s="186"/>
      <c r="P65" s="186"/>
      <c r="Q65" s="186"/>
    </row>
    <row r="66">
      <c r="B66" s="188" t="s">
        <v>333</v>
      </c>
      <c r="C66" s="188">
        <v>1000.0</v>
      </c>
      <c r="D66" s="188">
        <v>10000.0</v>
      </c>
      <c r="I66" s="187"/>
      <c r="J66" s="187"/>
      <c r="K66" s="187"/>
      <c r="L66" s="187"/>
      <c r="M66" s="187"/>
      <c r="N66" s="189"/>
      <c r="O66" s="186"/>
      <c r="P66" s="186"/>
      <c r="Q66" s="186"/>
    </row>
    <row r="67">
      <c r="B67" s="24" t="s">
        <v>95</v>
      </c>
      <c r="C67" s="24" t="s">
        <v>334</v>
      </c>
      <c r="D67" s="24" t="s">
        <v>335</v>
      </c>
      <c r="I67" s="187"/>
      <c r="J67" s="187"/>
      <c r="K67" s="187"/>
      <c r="L67" s="187"/>
      <c r="M67" s="187"/>
      <c r="N67" s="189"/>
      <c r="O67" s="186"/>
      <c r="P67" s="186"/>
      <c r="Q67" s="186"/>
    </row>
    <row r="68">
      <c r="B68" s="24" t="s">
        <v>336</v>
      </c>
      <c r="C68" s="24" t="s">
        <v>337</v>
      </c>
      <c r="D68" s="24" t="s">
        <v>338</v>
      </c>
      <c r="I68" s="187"/>
      <c r="J68" s="187"/>
      <c r="K68" s="187"/>
      <c r="L68" s="187"/>
      <c r="M68" s="187"/>
      <c r="N68" s="189"/>
      <c r="O68" s="186"/>
      <c r="P68" s="186"/>
      <c r="Q68" s="186"/>
    </row>
    <row r="69">
      <c r="B69" s="24" t="s">
        <v>339</v>
      </c>
      <c r="C69" s="24" t="s">
        <v>340</v>
      </c>
      <c r="D69" s="24" t="s">
        <v>341</v>
      </c>
      <c r="I69" s="187"/>
      <c r="J69" s="187"/>
      <c r="K69" s="187"/>
      <c r="L69" s="187"/>
      <c r="M69" s="187"/>
      <c r="N69" s="189"/>
      <c r="O69" s="186"/>
      <c r="P69" s="186"/>
      <c r="Q69" s="186"/>
    </row>
    <row r="70">
      <c r="I70" s="187"/>
      <c r="J70" s="187"/>
      <c r="K70" s="187"/>
      <c r="L70" s="187"/>
      <c r="M70" s="187"/>
      <c r="N70" s="189"/>
      <c r="O70" s="186"/>
      <c r="P70" s="186"/>
      <c r="Q70" s="186"/>
    </row>
    <row r="71">
      <c r="I71" s="187"/>
      <c r="J71" s="187"/>
      <c r="K71" s="187"/>
      <c r="L71" s="187"/>
      <c r="M71" s="187"/>
      <c r="N71" s="189"/>
      <c r="O71" s="186"/>
      <c r="P71" s="186"/>
      <c r="Q71" s="186"/>
    </row>
    <row r="72">
      <c r="I72" s="187"/>
      <c r="J72" s="187"/>
      <c r="K72" s="187"/>
      <c r="L72" s="187"/>
      <c r="M72" s="187"/>
      <c r="N72" s="189"/>
      <c r="O72" s="186"/>
      <c r="P72" s="186"/>
      <c r="Q72" s="186"/>
    </row>
    <row r="73">
      <c r="I73" s="187"/>
      <c r="J73" s="187"/>
      <c r="K73" s="187"/>
      <c r="L73" s="187"/>
      <c r="M73" s="190"/>
      <c r="N73" s="189"/>
    </row>
  </sheetData>
  <mergeCells count="5">
    <mergeCell ref="C54:D54"/>
    <mergeCell ref="E54:F54"/>
    <mergeCell ref="C65:D65"/>
    <mergeCell ref="I64:J64"/>
    <mergeCell ref="K64:L64"/>
  </mergeCells>
  <conditionalFormatting sqref="I64:M73">
    <cfRule type="notContainsBlanks" dxfId="0" priority="1">
      <formula>LEN(TRIM(I64))&gt;0</formula>
    </cfRule>
  </conditionalFormatting>
  <hyperlinks>
    <hyperlink r:id="rId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0"/>
    <col customWidth="1" min="2" max="2" width="15.86"/>
    <col customWidth="1" min="3" max="3" width="12.43"/>
    <col customWidth="1" min="4" max="5" width="10.14"/>
    <col customWidth="1" min="8" max="11" width="10.14"/>
    <col customWidth="1" min="13" max="13" width="10.14"/>
  </cols>
  <sheetData>
    <row r="1">
      <c r="M1" s="191"/>
    </row>
    <row r="2">
      <c r="A2" s="27" t="s">
        <v>77</v>
      </c>
      <c r="M2" s="191"/>
    </row>
    <row r="3">
      <c r="A3" s="27" t="s">
        <v>78</v>
      </c>
      <c r="M3" s="191"/>
    </row>
    <row r="4">
      <c r="F4" s="109" t="s">
        <v>342</v>
      </c>
      <c r="M4" s="191"/>
      <c r="S4" s="109" t="s">
        <v>343</v>
      </c>
    </row>
    <row r="5">
      <c r="A5" s="105" t="s">
        <v>79</v>
      </c>
      <c r="B5" s="8"/>
      <c r="C5" s="8"/>
      <c r="D5" s="8"/>
      <c r="E5" s="9"/>
      <c r="F5" s="78"/>
      <c r="G5" s="105" t="s">
        <v>80</v>
      </c>
      <c r="H5" s="8"/>
      <c r="I5" s="8"/>
      <c r="J5" s="8"/>
      <c r="K5" s="9"/>
      <c r="M5" s="191"/>
      <c r="N5" s="105" t="s">
        <v>79</v>
      </c>
      <c r="O5" s="8"/>
      <c r="P5" s="8"/>
      <c r="Q5" s="8"/>
      <c r="R5" s="9"/>
      <c r="S5" s="78"/>
      <c r="T5" s="105" t="s">
        <v>80</v>
      </c>
      <c r="U5" s="8"/>
      <c r="V5" s="8"/>
      <c r="W5" s="8"/>
      <c r="X5" s="9"/>
    </row>
    <row r="6">
      <c r="A6" s="106" t="s">
        <v>73</v>
      </c>
      <c r="B6" s="94" t="s">
        <v>43</v>
      </c>
      <c r="C6" s="94" t="s">
        <v>44</v>
      </c>
      <c r="D6" s="94" t="s">
        <v>45</v>
      </c>
      <c r="E6" s="94" t="s">
        <v>46</v>
      </c>
      <c r="F6" s="78"/>
      <c r="G6" s="94" t="s">
        <v>73</v>
      </c>
      <c r="H6" s="94" t="s">
        <v>43</v>
      </c>
      <c r="I6" s="94" t="s">
        <v>44</v>
      </c>
      <c r="J6" s="94" t="s">
        <v>45</v>
      </c>
      <c r="K6" s="94" t="s">
        <v>46</v>
      </c>
      <c r="M6" s="191"/>
      <c r="N6" s="106" t="s">
        <v>73</v>
      </c>
      <c r="O6" s="94" t="s">
        <v>43</v>
      </c>
      <c r="P6" s="94" t="s">
        <v>44</v>
      </c>
      <c r="Q6" s="94" t="s">
        <v>45</v>
      </c>
      <c r="R6" s="94" t="s">
        <v>46</v>
      </c>
      <c r="S6" s="78"/>
      <c r="T6" s="94" t="s">
        <v>73</v>
      </c>
      <c r="U6" s="94" t="s">
        <v>43</v>
      </c>
      <c r="V6" s="94" t="s">
        <v>44</v>
      </c>
      <c r="W6" s="94" t="s">
        <v>45</v>
      </c>
      <c r="X6" s="94" t="s">
        <v>46</v>
      </c>
    </row>
    <row r="7">
      <c r="A7" s="107">
        <v>1.0</v>
      </c>
      <c r="B7" s="108" t="s">
        <v>156</v>
      </c>
      <c r="C7" s="86" t="s">
        <v>75</v>
      </c>
      <c r="D7" s="86" t="s">
        <v>75</v>
      </c>
      <c r="E7" s="86" t="s">
        <v>75</v>
      </c>
      <c r="F7" s="78"/>
      <c r="G7" s="97">
        <v>1.0</v>
      </c>
      <c r="H7" s="108" t="s">
        <v>157</v>
      </c>
      <c r="I7" s="86" t="s">
        <v>75</v>
      </c>
      <c r="J7" s="86" t="s">
        <v>75</v>
      </c>
      <c r="K7" s="86" t="s">
        <v>75</v>
      </c>
      <c r="M7" s="191"/>
      <c r="N7" s="107">
        <v>1.0</v>
      </c>
      <c r="O7" s="108"/>
      <c r="P7" s="86" t="s">
        <v>75</v>
      </c>
      <c r="Q7" s="86" t="s">
        <v>75</v>
      </c>
      <c r="R7" s="86" t="s">
        <v>75</v>
      </c>
      <c r="S7" s="78"/>
      <c r="T7" s="97">
        <v>1.0</v>
      </c>
      <c r="U7" s="108"/>
      <c r="V7" s="86" t="s">
        <v>75</v>
      </c>
      <c r="W7" s="86" t="s">
        <v>75</v>
      </c>
      <c r="X7" s="86" t="s">
        <v>75</v>
      </c>
    </row>
    <row r="8">
      <c r="A8" s="107">
        <v>2.0</v>
      </c>
      <c r="B8" s="108" t="s">
        <v>158</v>
      </c>
      <c r="C8" s="108" t="s">
        <v>159</v>
      </c>
      <c r="D8" s="86" t="s">
        <v>75</v>
      </c>
      <c r="E8" s="86" t="s">
        <v>75</v>
      </c>
      <c r="F8" s="78"/>
      <c r="G8" s="97">
        <v>2.0</v>
      </c>
      <c r="H8" s="108" t="s">
        <v>160</v>
      </c>
      <c r="I8" s="108" t="s">
        <v>161</v>
      </c>
      <c r="J8" s="86" t="s">
        <v>75</v>
      </c>
      <c r="K8" s="86" t="s">
        <v>75</v>
      </c>
      <c r="M8" s="191"/>
      <c r="N8" s="107">
        <v>2.0</v>
      </c>
      <c r="O8" s="108"/>
      <c r="P8" s="108"/>
      <c r="Q8" s="86" t="s">
        <v>75</v>
      </c>
      <c r="R8" s="86" t="s">
        <v>75</v>
      </c>
      <c r="S8" s="78"/>
      <c r="T8" s="97">
        <v>2.0</v>
      </c>
      <c r="U8" s="108"/>
      <c r="V8" s="108"/>
      <c r="W8" s="86" t="s">
        <v>75</v>
      </c>
      <c r="X8" s="86" t="s">
        <v>75</v>
      </c>
    </row>
    <row r="9">
      <c r="A9" s="107">
        <v>4.0</v>
      </c>
      <c r="B9" s="108" t="s">
        <v>344</v>
      </c>
      <c r="C9" s="108" t="s">
        <v>345</v>
      </c>
      <c r="D9" s="108" t="s">
        <v>346</v>
      </c>
      <c r="E9" s="108" t="s">
        <v>347</v>
      </c>
      <c r="F9" s="78"/>
      <c r="G9" s="97">
        <v>4.0</v>
      </c>
      <c r="H9" s="108" t="s">
        <v>348</v>
      </c>
      <c r="I9" s="108" t="s">
        <v>349</v>
      </c>
      <c r="J9" s="108" t="s">
        <v>350</v>
      </c>
      <c r="K9" s="108" t="s">
        <v>351</v>
      </c>
      <c r="M9" s="191"/>
      <c r="N9" s="107">
        <v>4.0</v>
      </c>
      <c r="O9" s="108" t="s">
        <v>352</v>
      </c>
      <c r="P9" s="108" t="s">
        <v>353</v>
      </c>
      <c r="Q9" s="108" t="s">
        <v>354</v>
      </c>
      <c r="R9" s="108" t="s">
        <v>355</v>
      </c>
      <c r="S9" s="78"/>
      <c r="T9" s="97">
        <v>4.0</v>
      </c>
      <c r="U9" s="108" t="s">
        <v>356</v>
      </c>
      <c r="V9" s="108" t="s">
        <v>357</v>
      </c>
      <c r="W9" s="108" t="s">
        <v>358</v>
      </c>
      <c r="X9" s="108" t="s">
        <v>359</v>
      </c>
    </row>
    <row r="10">
      <c r="M10" s="191"/>
    </row>
    <row r="11">
      <c r="M11" s="191"/>
    </row>
    <row r="12">
      <c r="F12" s="109" t="s">
        <v>342</v>
      </c>
      <c r="J12" s="109" t="s">
        <v>360</v>
      </c>
      <c r="M12" s="191"/>
      <c r="S12" s="109" t="s">
        <v>343</v>
      </c>
      <c r="W12" s="109" t="s">
        <v>360</v>
      </c>
    </row>
    <row r="13">
      <c r="A13" s="129"/>
      <c r="B13" s="20" t="s">
        <v>41</v>
      </c>
      <c r="C13" s="20" t="s">
        <v>42</v>
      </c>
      <c r="D13" s="192" t="s">
        <v>43</v>
      </c>
      <c r="E13" s="192" t="s">
        <v>44</v>
      </c>
      <c r="F13" s="192" t="s">
        <v>45</v>
      </c>
      <c r="G13" s="192" t="s">
        <v>46</v>
      </c>
      <c r="H13" s="193"/>
      <c r="I13" s="192" t="s">
        <v>43</v>
      </c>
      <c r="J13" s="192" t="s">
        <v>44</v>
      </c>
      <c r="K13" s="192" t="s">
        <v>45</v>
      </c>
      <c r="L13" s="192" t="s">
        <v>46</v>
      </c>
      <c r="M13" s="191"/>
      <c r="N13" s="129"/>
      <c r="O13" s="20" t="s">
        <v>41</v>
      </c>
      <c r="P13" s="20" t="s">
        <v>42</v>
      </c>
      <c r="Q13" s="192" t="s">
        <v>43</v>
      </c>
      <c r="R13" s="192" t="s">
        <v>44</v>
      </c>
      <c r="S13" s="192" t="s">
        <v>45</v>
      </c>
      <c r="T13" s="192" t="s">
        <v>46</v>
      </c>
      <c r="U13" s="193"/>
      <c r="V13" s="192" t="s">
        <v>43</v>
      </c>
      <c r="W13" s="192" t="s">
        <v>44</v>
      </c>
      <c r="X13" s="192" t="s">
        <v>45</v>
      </c>
      <c r="Y13" s="192" t="s">
        <v>46</v>
      </c>
    </row>
    <row r="14">
      <c r="A14" s="24" t="s">
        <v>91</v>
      </c>
      <c r="B14" s="24">
        <v>10000.0</v>
      </c>
      <c r="C14" s="24">
        <v>0.0</v>
      </c>
      <c r="D14" s="194" t="s">
        <v>348</v>
      </c>
      <c r="E14" s="194" t="s">
        <v>349</v>
      </c>
      <c r="F14" s="24" t="s">
        <v>350</v>
      </c>
      <c r="G14" s="24" t="s">
        <v>351</v>
      </c>
      <c r="H14" s="195"/>
      <c r="I14" s="13"/>
      <c r="J14" s="13"/>
      <c r="K14" s="13"/>
      <c r="L14" s="13"/>
      <c r="M14" s="191"/>
      <c r="N14" s="24" t="s">
        <v>91</v>
      </c>
      <c r="O14" s="24">
        <v>10000.0</v>
      </c>
      <c r="P14" s="24">
        <v>0.0</v>
      </c>
      <c r="Q14" s="194"/>
      <c r="R14" s="194"/>
      <c r="S14" s="24"/>
      <c r="T14" s="24"/>
      <c r="U14" s="195"/>
      <c r="V14" s="13"/>
      <c r="W14" s="13"/>
      <c r="X14" s="13"/>
      <c r="Y14" s="13"/>
    </row>
    <row r="15">
      <c r="A15" s="24" t="s">
        <v>82</v>
      </c>
      <c r="B15" s="24">
        <v>10000.0</v>
      </c>
      <c r="C15" s="24">
        <v>1024.0</v>
      </c>
      <c r="D15" s="24" t="s">
        <v>361</v>
      </c>
      <c r="E15" s="24" t="s">
        <v>362</v>
      </c>
      <c r="F15" s="24" t="s">
        <v>363</v>
      </c>
      <c r="G15" s="24" t="s">
        <v>364</v>
      </c>
      <c r="H15" s="195"/>
      <c r="I15" s="24" t="s">
        <v>365</v>
      </c>
      <c r="J15" s="24" t="s">
        <v>366</v>
      </c>
      <c r="K15" s="24" t="s">
        <v>367</v>
      </c>
      <c r="L15" s="24" t="s">
        <v>368</v>
      </c>
      <c r="M15" s="191"/>
      <c r="N15" s="24" t="s">
        <v>82</v>
      </c>
      <c r="O15" s="24">
        <v>10000.0</v>
      </c>
      <c r="P15" s="24">
        <v>1024.0</v>
      </c>
      <c r="Q15" s="24"/>
      <c r="R15" s="24"/>
      <c r="S15" s="24"/>
      <c r="T15" s="24"/>
      <c r="U15" s="195"/>
      <c r="V15" s="24"/>
      <c r="W15" s="24"/>
      <c r="X15" s="24"/>
      <c r="Y15" s="24"/>
    </row>
    <row r="16">
      <c r="A16" s="24" t="s">
        <v>83</v>
      </c>
      <c r="B16" s="24">
        <v>1000.0</v>
      </c>
      <c r="C16" s="24" t="str">
        <f t="shared" ref="C16:C22" si="1">C15*10</f>
        <v>10240</v>
      </c>
      <c r="D16" s="24" t="s">
        <v>369</v>
      </c>
      <c r="E16" s="24" t="s">
        <v>370</v>
      </c>
      <c r="F16" s="24" t="s">
        <v>371</v>
      </c>
      <c r="G16" s="24" t="s">
        <v>372</v>
      </c>
      <c r="H16" s="195"/>
      <c r="I16" s="24" t="s">
        <v>373</v>
      </c>
      <c r="J16" s="24" t="s">
        <v>374</v>
      </c>
      <c r="K16" s="24" t="s">
        <v>375</v>
      </c>
      <c r="L16" s="24" t="s">
        <v>376</v>
      </c>
      <c r="M16" s="191"/>
      <c r="N16" s="24" t="s">
        <v>83</v>
      </c>
      <c r="O16" s="24">
        <v>1000.0</v>
      </c>
      <c r="P16" s="24" t="str">
        <f t="shared" ref="P16:P22" si="2">P15*10</f>
        <v>10240</v>
      </c>
      <c r="Q16" s="24"/>
      <c r="R16" s="24"/>
      <c r="S16" s="24"/>
      <c r="T16" s="24"/>
      <c r="U16" s="195"/>
      <c r="V16" s="24"/>
      <c r="W16" s="24"/>
      <c r="X16" s="24"/>
      <c r="Y16" s="24"/>
    </row>
    <row r="17">
      <c r="A17" s="24" t="s">
        <v>84</v>
      </c>
      <c r="B17" s="24">
        <v>1000.0</v>
      </c>
      <c r="C17" s="24" t="str">
        <f t="shared" si="1"/>
        <v>102400</v>
      </c>
      <c r="D17" s="24" t="s">
        <v>377</v>
      </c>
      <c r="E17" s="24" t="s">
        <v>378</v>
      </c>
      <c r="F17" s="24" t="s">
        <v>379</v>
      </c>
      <c r="G17" s="24" t="s">
        <v>380</v>
      </c>
      <c r="H17" s="195"/>
      <c r="I17" s="24" t="s">
        <v>381</v>
      </c>
      <c r="J17" s="24" t="s">
        <v>382</v>
      </c>
      <c r="K17" s="24" t="s">
        <v>383</v>
      </c>
      <c r="L17" s="24" t="s">
        <v>384</v>
      </c>
      <c r="M17" s="191"/>
      <c r="N17" s="24" t="s">
        <v>84</v>
      </c>
      <c r="O17" s="24">
        <v>1000.0</v>
      </c>
      <c r="P17" s="24" t="str">
        <f t="shared" si="2"/>
        <v>102400</v>
      </c>
      <c r="Q17" s="24"/>
      <c r="R17" s="24"/>
      <c r="S17" s="24"/>
      <c r="T17" s="24"/>
      <c r="U17" s="195"/>
      <c r="V17" s="24"/>
      <c r="W17" s="24"/>
      <c r="X17" s="24"/>
      <c r="Y17" s="24"/>
    </row>
    <row r="18">
      <c r="A18" s="24" t="s">
        <v>85</v>
      </c>
      <c r="B18" s="24">
        <v>1000.0</v>
      </c>
      <c r="C18" s="24" t="str">
        <f t="shared" si="1"/>
        <v>1024000</v>
      </c>
      <c r="D18" s="24" t="s">
        <v>385</v>
      </c>
      <c r="E18" s="24" t="s">
        <v>386</v>
      </c>
      <c r="F18" s="24" t="s">
        <v>387</v>
      </c>
      <c r="G18" s="24" t="s">
        <v>388</v>
      </c>
      <c r="H18" s="195"/>
      <c r="I18" s="24" t="s">
        <v>389</v>
      </c>
      <c r="J18" s="24" t="s">
        <v>390</v>
      </c>
      <c r="K18" s="24" t="s">
        <v>391</v>
      </c>
      <c r="L18" s="24" t="s">
        <v>392</v>
      </c>
      <c r="M18" s="191"/>
      <c r="N18" s="24" t="s">
        <v>85</v>
      </c>
      <c r="O18" s="24">
        <v>1000.0</v>
      </c>
      <c r="P18" s="24" t="str">
        <f t="shared" si="2"/>
        <v>1024000</v>
      </c>
      <c r="Q18" s="24"/>
      <c r="R18" s="24"/>
      <c r="S18" s="24"/>
      <c r="T18" s="24"/>
      <c r="U18" s="195"/>
      <c r="V18" s="24"/>
      <c r="W18" s="24"/>
      <c r="X18" s="24"/>
      <c r="Y18" s="24"/>
    </row>
    <row r="19">
      <c r="A19" s="24" t="s">
        <v>86</v>
      </c>
      <c r="B19" s="24">
        <v>1000.0</v>
      </c>
      <c r="C19" s="24" t="str">
        <f t="shared" si="1"/>
        <v>10240000</v>
      </c>
      <c r="D19" s="24" t="s">
        <v>393</v>
      </c>
      <c r="E19" s="24" t="s">
        <v>394</v>
      </c>
      <c r="F19" s="24" t="s">
        <v>395</v>
      </c>
      <c r="G19" s="24" t="s">
        <v>396</v>
      </c>
      <c r="H19" s="195"/>
      <c r="I19" s="24" t="s">
        <v>397</v>
      </c>
      <c r="J19" s="24" t="s">
        <v>398</v>
      </c>
      <c r="K19" s="24" t="s">
        <v>399</v>
      </c>
      <c r="L19" s="24" t="s">
        <v>400</v>
      </c>
      <c r="M19" s="191"/>
      <c r="N19" s="24" t="s">
        <v>86</v>
      </c>
      <c r="O19" s="24">
        <v>1000.0</v>
      </c>
      <c r="P19" s="24" t="str">
        <f t="shared" si="2"/>
        <v>10240000</v>
      </c>
      <c r="Q19" s="24"/>
      <c r="R19" s="24"/>
      <c r="S19" s="24"/>
      <c r="T19" s="24"/>
      <c r="U19" s="195"/>
      <c r="V19" s="24"/>
      <c r="W19" s="24"/>
      <c r="X19" s="24"/>
      <c r="Y19" s="24"/>
    </row>
    <row r="20">
      <c r="A20" s="24" t="s">
        <v>87</v>
      </c>
      <c r="B20" s="24">
        <v>100.0</v>
      </c>
      <c r="C20" s="24" t="str">
        <f t="shared" si="1"/>
        <v>102400000</v>
      </c>
      <c r="D20" s="24" t="s">
        <v>401</v>
      </c>
      <c r="E20" s="24" t="s">
        <v>402</v>
      </c>
      <c r="F20" s="24" t="s">
        <v>403</v>
      </c>
      <c r="G20" s="24" t="s">
        <v>404</v>
      </c>
      <c r="H20" s="195"/>
      <c r="I20" s="24" t="s">
        <v>405</v>
      </c>
      <c r="J20" s="24" t="s">
        <v>406</v>
      </c>
      <c r="K20" s="24" t="s">
        <v>407</v>
      </c>
      <c r="L20" s="24" t="s">
        <v>408</v>
      </c>
      <c r="M20" s="191"/>
      <c r="N20" s="24" t="s">
        <v>87</v>
      </c>
      <c r="O20" s="24">
        <v>100.0</v>
      </c>
      <c r="P20" s="24" t="str">
        <f t="shared" si="2"/>
        <v>102400000</v>
      </c>
      <c r="Q20" s="24"/>
      <c r="R20" s="24"/>
      <c r="S20" s="24"/>
      <c r="T20" s="24"/>
      <c r="U20" s="195"/>
      <c r="V20" s="24"/>
      <c r="W20" s="24"/>
      <c r="X20" s="24"/>
      <c r="Y20" s="24"/>
    </row>
    <row r="21">
      <c r="A21" s="24" t="s">
        <v>88</v>
      </c>
      <c r="B21" s="24">
        <v>10.0</v>
      </c>
      <c r="C21" s="24" t="str">
        <f t="shared" si="1"/>
        <v>1024000000</v>
      </c>
      <c r="D21" s="24" t="s">
        <v>409</v>
      </c>
      <c r="E21" s="24" t="s">
        <v>410</v>
      </c>
      <c r="F21" s="24" t="s">
        <v>411</v>
      </c>
      <c r="G21" s="24" t="s">
        <v>412</v>
      </c>
      <c r="H21" s="195"/>
      <c r="I21" s="24" t="s">
        <v>413</v>
      </c>
      <c r="J21" s="24" t="s">
        <v>414</v>
      </c>
      <c r="K21" s="24" t="s">
        <v>415</v>
      </c>
      <c r="L21" s="24" t="s">
        <v>416</v>
      </c>
      <c r="M21" s="191"/>
      <c r="N21" s="24" t="s">
        <v>88</v>
      </c>
      <c r="O21" s="24">
        <v>10.0</v>
      </c>
      <c r="P21" s="24" t="str">
        <f t="shared" si="2"/>
        <v>1024000000</v>
      </c>
      <c r="Q21" s="24"/>
      <c r="R21" s="24"/>
      <c r="S21" s="24"/>
      <c r="T21" s="24"/>
      <c r="U21" s="195"/>
      <c r="V21" s="24"/>
      <c r="W21" s="24"/>
      <c r="X21" s="24"/>
      <c r="Y21" s="24"/>
    </row>
    <row r="22">
      <c r="A22" s="24" t="s">
        <v>89</v>
      </c>
      <c r="B22" s="24">
        <v>1.0</v>
      </c>
      <c r="C22" s="24" t="str">
        <f t="shared" si="1"/>
        <v>10240000000</v>
      </c>
      <c r="D22" s="24" t="s">
        <v>417</v>
      </c>
      <c r="E22" s="24" t="s">
        <v>418</v>
      </c>
      <c r="F22" s="24" t="s">
        <v>419</v>
      </c>
      <c r="G22" s="24" t="s">
        <v>420</v>
      </c>
      <c r="H22" s="195"/>
      <c r="I22" s="24" t="s">
        <v>421</v>
      </c>
      <c r="J22" s="24" t="s">
        <v>422</v>
      </c>
      <c r="K22" s="24" t="s">
        <v>421</v>
      </c>
      <c r="L22" s="24" t="s">
        <v>423</v>
      </c>
      <c r="M22" s="191"/>
      <c r="N22" s="24" t="s">
        <v>89</v>
      </c>
      <c r="O22" s="24">
        <v>1.0</v>
      </c>
      <c r="P22" s="24" t="str">
        <f t="shared" si="2"/>
        <v>10240000000</v>
      </c>
      <c r="Q22" s="24"/>
      <c r="R22" s="24"/>
      <c r="S22" s="24"/>
      <c r="T22" s="24"/>
      <c r="U22" s="195"/>
      <c r="V22" s="24"/>
      <c r="W22" s="24"/>
      <c r="X22" s="24"/>
      <c r="Y22" s="24"/>
    </row>
    <row r="23">
      <c r="M23" s="191"/>
    </row>
    <row r="24">
      <c r="F24" s="27"/>
      <c r="G24" s="27"/>
      <c r="H24" s="196"/>
      <c r="I24" s="196"/>
      <c r="J24" s="196"/>
      <c r="K24" s="196"/>
      <c r="L24" s="27"/>
      <c r="M24" s="197"/>
    </row>
    <row r="25">
      <c r="A25" s="191"/>
      <c r="B25" s="191"/>
      <c r="C25" s="191"/>
      <c r="D25" s="191"/>
      <c r="E25" s="191"/>
      <c r="F25" s="197"/>
      <c r="G25" s="197"/>
      <c r="H25" s="198"/>
      <c r="I25" s="198"/>
      <c r="J25" s="198"/>
      <c r="K25" s="198"/>
      <c r="L25" s="197"/>
      <c r="M25" s="197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</row>
    <row r="26">
      <c r="F26" s="27"/>
      <c r="G26" s="27"/>
      <c r="H26" s="196"/>
      <c r="I26" s="196"/>
      <c r="J26" s="196"/>
      <c r="K26" s="196"/>
      <c r="L26" s="27"/>
      <c r="M26" s="197"/>
    </row>
    <row r="27">
      <c r="M27" s="191"/>
    </row>
    <row r="28">
      <c r="B28" s="27" t="s">
        <v>424</v>
      </c>
    </row>
    <row r="29">
      <c r="D29" s="24" t="s">
        <v>41</v>
      </c>
      <c r="E29" s="27" t="s">
        <v>42</v>
      </c>
      <c r="F29" s="94" t="s">
        <v>43</v>
      </c>
      <c r="G29" s="94" t="s">
        <v>44</v>
      </c>
      <c r="H29" s="94" t="s">
        <v>45</v>
      </c>
      <c r="I29" s="94" t="s">
        <v>46</v>
      </c>
      <c r="J29" s="27" t="s">
        <v>425</v>
      </c>
      <c r="K29" s="27" t="s">
        <v>426</v>
      </c>
    </row>
    <row r="30">
      <c r="C30" s="24" t="s">
        <v>91</v>
      </c>
      <c r="D30" s="24">
        <v>10000.0</v>
      </c>
      <c r="E30" s="27">
        <v>0.0</v>
      </c>
      <c r="F30" s="108" t="s">
        <v>348</v>
      </c>
      <c r="G30" s="108" t="s">
        <v>349</v>
      </c>
      <c r="H30" s="108" t="s">
        <v>350</v>
      </c>
      <c r="I30" s="108" t="s">
        <v>351</v>
      </c>
    </row>
    <row r="31">
      <c r="C31" s="24" t="s">
        <v>82</v>
      </c>
      <c r="D31" s="24">
        <v>10000.0</v>
      </c>
      <c r="E31" s="27">
        <v>1024.0</v>
      </c>
      <c r="F31" s="27" t="s">
        <v>427</v>
      </c>
      <c r="G31" s="27" t="s">
        <v>428</v>
      </c>
      <c r="H31" s="27" t="s">
        <v>429</v>
      </c>
      <c r="I31" s="27" t="s">
        <v>430</v>
      </c>
    </row>
    <row r="32">
      <c r="C32" s="24" t="s">
        <v>83</v>
      </c>
      <c r="D32" s="24">
        <v>1000.0</v>
      </c>
      <c r="E32" s="27" t="str">
        <f t="shared" ref="E32:E38" si="3">E31*10</f>
        <v>10240</v>
      </c>
      <c r="F32" s="27" t="s">
        <v>431</v>
      </c>
      <c r="G32" s="27" t="s">
        <v>432</v>
      </c>
      <c r="H32" s="27" t="s">
        <v>433</v>
      </c>
      <c r="I32" s="27" t="s">
        <v>434</v>
      </c>
    </row>
    <row r="33">
      <c r="C33" s="24" t="s">
        <v>84</v>
      </c>
      <c r="D33" s="24">
        <v>1000.0</v>
      </c>
      <c r="E33" s="27" t="str">
        <f t="shared" si="3"/>
        <v>102400</v>
      </c>
      <c r="F33" s="27" t="s">
        <v>435</v>
      </c>
      <c r="G33" s="27" t="s">
        <v>436</v>
      </c>
      <c r="H33" s="27" t="s">
        <v>437</v>
      </c>
      <c r="I33" s="27" t="s">
        <v>438</v>
      </c>
    </row>
    <row r="34">
      <c r="C34" s="24" t="s">
        <v>85</v>
      </c>
      <c r="D34" s="24">
        <v>1000.0</v>
      </c>
      <c r="E34" s="27" t="str">
        <f t="shared" si="3"/>
        <v>1024000</v>
      </c>
      <c r="F34" s="27" t="s">
        <v>439</v>
      </c>
      <c r="G34" s="27" t="s">
        <v>440</v>
      </c>
      <c r="H34" s="27" t="s">
        <v>441</v>
      </c>
      <c r="I34" s="27" t="s">
        <v>442</v>
      </c>
    </row>
    <row r="35">
      <c r="C35" s="24" t="s">
        <v>86</v>
      </c>
      <c r="D35" s="24">
        <v>1000.0</v>
      </c>
      <c r="E35" s="27" t="str">
        <f t="shared" si="3"/>
        <v>10240000</v>
      </c>
    </row>
    <row r="36">
      <c r="C36" s="24" t="s">
        <v>87</v>
      </c>
      <c r="D36" s="24">
        <v>100.0</v>
      </c>
      <c r="E36" s="27" t="str">
        <f t="shared" si="3"/>
        <v>102400000</v>
      </c>
    </row>
    <row r="37">
      <c r="C37" s="24" t="s">
        <v>88</v>
      </c>
      <c r="D37" s="24">
        <v>10.0</v>
      </c>
      <c r="E37" s="27" t="str">
        <f t="shared" si="3"/>
        <v>1024000000</v>
      </c>
    </row>
    <row r="38">
      <c r="C38" s="24" t="s">
        <v>89</v>
      </c>
      <c r="D38" s="24">
        <v>1.0</v>
      </c>
      <c r="E38" s="27" t="str">
        <f t="shared" si="3"/>
        <v>10240000000</v>
      </c>
    </row>
    <row r="40">
      <c r="J40" s="27" t="s">
        <v>425</v>
      </c>
      <c r="K40" s="27" t="s">
        <v>443</v>
      </c>
      <c r="L40" s="27" t="s">
        <v>444</v>
      </c>
    </row>
    <row r="41">
      <c r="D41" s="24" t="s">
        <v>41</v>
      </c>
      <c r="E41" s="27" t="s">
        <v>42</v>
      </c>
      <c r="F41" s="94" t="s">
        <v>43</v>
      </c>
      <c r="G41" s="94" t="s">
        <v>44</v>
      </c>
      <c r="H41" s="94" t="s">
        <v>45</v>
      </c>
      <c r="I41" s="94" t="s">
        <v>46</v>
      </c>
      <c r="J41" s="94"/>
      <c r="K41" s="94" t="s">
        <v>43</v>
      </c>
      <c r="L41" s="94" t="s">
        <v>44</v>
      </c>
      <c r="M41" s="94" t="s">
        <v>45</v>
      </c>
      <c r="N41" s="94" t="s">
        <v>46</v>
      </c>
    </row>
    <row r="42">
      <c r="C42" s="24" t="s">
        <v>91</v>
      </c>
      <c r="D42" s="24">
        <v>10000.0</v>
      </c>
      <c r="E42" s="27">
        <v>0.0</v>
      </c>
      <c r="F42" s="108" t="s">
        <v>348</v>
      </c>
      <c r="G42" s="108" t="s">
        <v>349</v>
      </c>
      <c r="H42" s="108" t="s">
        <v>350</v>
      </c>
      <c r="I42" s="108" t="s">
        <v>351</v>
      </c>
    </row>
    <row r="43">
      <c r="C43" s="24" t="s">
        <v>82</v>
      </c>
      <c r="D43" s="24">
        <v>10000.0</v>
      </c>
      <c r="E43" s="27">
        <v>1024.0</v>
      </c>
      <c r="F43" s="27" t="s">
        <v>445</v>
      </c>
      <c r="G43" s="27" t="s">
        <v>446</v>
      </c>
      <c r="H43" s="27" t="s">
        <v>447</v>
      </c>
      <c r="I43" s="27" t="s">
        <v>448</v>
      </c>
      <c r="K43" s="27" t="s">
        <v>449</v>
      </c>
      <c r="L43" s="27" t="s">
        <v>450</v>
      </c>
      <c r="M43" s="27" t="s">
        <v>451</v>
      </c>
      <c r="N43" s="27" t="s">
        <v>452</v>
      </c>
    </row>
    <row r="44">
      <c r="C44" s="24" t="s">
        <v>83</v>
      </c>
      <c r="D44" s="24">
        <v>1000.0</v>
      </c>
      <c r="E44" s="27" t="str">
        <f t="shared" ref="E44:E50" si="4">E43*10</f>
        <v>10240</v>
      </c>
      <c r="F44" s="27" t="s">
        <v>453</v>
      </c>
      <c r="G44" s="27" t="s">
        <v>454</v>
      </c>
      <c r="H44" s="27" t="s">
        <v>455</v>
      </c>
      <c r="I44" s="27" t="s">
        <v>456</v>
      </c>
      <c r="K44" s="27" t="s">
        <v>457</v>
      </c>
      <c r="L44" s="27" t="s">
        <v>458</v>
      </c>
      <c r="M44" s="27" t="s">
        <v>459</v>
      </c>
      <c r="N44" s="27" t="s">
        <v>460</v>
      </c>
    </row>
    <row r="45">
      <c r="C45" s="24" t="s">
        <v>84</v>
      </c>
      <c r="D45" s="24">
        <v>1000.0</v>
      </c>
      <c r="E45" s="27" t="str">
        <f t="shared" si="4"/>
        <v>102400</v>
      </c>
      <c r="F45" s="27" t="s">
        <v>461</v>
      </c>
      <c r="G45" s="27" t="s">
        <v>462</v>
      </c>
      <c r="H45" s="27" t="s">
        <v>463</v>
      </c>
      <c r="I45" s="27" t="s">
        <v>464</v>
      </c>
      <c r="K45" s="27" t="s">
        <v>465</v>
      </c>
      <c r="L45" s="27" t="s">
        <v>466</v>
      </c>
      <c r="M45" s="27" t="s">
        <v>467</v>
      </c>
      <c r="N45" s="27" t="s">
        <v>468</v>
      </c>
    </row>
    <row r="46">
      <c r="C46" s="24" t="s">
        <v>85</v>
      </c>
      <c r="D46" s="24">
        <v>1000.0</v>
      </c>
      <c r="E46" s="27" t="str">
        <f t="shared" si="4"/>
        <v>1024000</v>
      </c>
      <c r="F46" s="27" t="s">
        <v>469</v>
      </c>
      <c r="G46" s="27" t="s">
        <v>470</v>
      </c>
      <c r="H46" s="27" t="s">
        <v>471</v>
      </c>
      <c r="I46" s="27" t="s">
        <v>472</v>
      </c>
      <c r="K46" s="27" t="s">
        <v>473</v>
      </c>
      <c r="L46" s="27" t="s">
        <v>474</v>
      </c>
      <c r="M46" s="27" t="s">
        <v>475</v>
      </c>
      <c r="N46" s="27" t="s">
        <v>476</v>
      </c>
    </row>
    <row r="47">
      <c r="C47" s="24" t="s">
        <v>86</v>
      </c>
      <c r="D47" s="24">
        <v>1000.0</v>
      </c>
      <c r="E47" s="27" t="str">
        <f t="shared" si="4"/>
        <v>10240000</v>
      </c>
      <c r="F47" s="199" t="s">
        <v>477</v>
      </c>
      <c r="G47" s="199" t="s">
        <v>478</v>
      </c>
      <c r="H47" s="199" t="s">
        <v>479</v>
      </c>
      <c r="I47" s="199" t="s">
        <v>480</v>
      </c>
    </row>
    <row r="48">
      <c r="C48" s="24" t="s">
        <v>87</v>
      </c>
      <c r="D48" s="24">
        <v>100.0</v>
      </c>
      <c r="E48" s="27" t="str">
        <f t="shared" si="4"/>
        <v>102400000</v>
      </c>
    </row>
    <row r="49">
      <c r="C49" s="24" t="s">
        <v>88</v>
      </c>
      <c r="D49" s="24">
        <v>10.0</v>
      </c>
      <c r="E49" s="27" t="str">
        <f t="shared" si="4"/>
        <v>1024000000</v>
      </c>
    </row>
    <row r="50">
      <c r="C50" s="24" t="s">
        <v>89</v>
      </c>
      <c r="D50" s="24">
        <v>1.0</v>
      </c>
      <c r="E50" s="27" t="str">
        <f t="shared" si="4"/>
        <v>10240000000</v>
      </c>
    </row>
    <row r="52">
      <c r="D52" s="24" t="s">
        <v>41</v>
      </c>
      <c r="E52" s="27" t="s">
        <v>42</v>
      </c>
      <c r="F52" s="94" t="s">
        <v>43</v>
      </c>
      <c r="G52" s="94" t="s">
        <v>44</v>
      </c>
      <c r="H52" s="94" t="s">
        <v>45</v>
      </c>
      <c r="I52" s="94" t="s">
        <v>46</v>
      </c>
      <c r="J52" s="27" t="s">
        <v>425</v>
      </c>
      <c r="K52" s="27" t="s">
        <v>481</v>
      </c>
    </row>
    <row r="53">
      <c r="C53" s="24" t="s">
        <v>91</v>
      </c>
      <c r="D53" s="24">
        <v>10000.0</v>
      </c>
      <c r="E53" s="27">
        <v>0.0</v>
      </c>
      <c r="F53" s="108" t="s">
        <v>348</v>
      </c>
      <c r="G53" s="108" t="s">
        <v>349</v>
      </c>
      <c r="H53" s="108" t="s">
        <v>350</v>
      </c>
      <c r="I53" s="108" t="s">
        <v>351</v>
      </c>
    </row>
    <row r="54">
      <c r="C54" s="24" t="s">
        <v>82</v>
      </c>
      <c r="D54" s="24">
        <v>10000.0</v>
      </c>
      <c r="E54" s="27">
        <v>1024.0</v>
      </c>
      <c r="F54" s="27" t="s">
        <v>482</v>
      </c>
      <c r="G54" s="27" t="s">
        <v>483</v>
      </c>
      <c r="H54" s="27" t="s">
        <v>484</v>
      </c>
      <c r="I54" s="27" t="s">
        <v>485</v>
      </c>
      <c r="K54" s="27" t="s">
        <v>486</v>
      </c>
      <c r="L54" s="27" t="s">
        <v>487</v>
      </c>
      <c r="M54" s="27" t="s">
        <v>488</v>
      </c>
      <c r="N54" s="27" t="s">
        <v>489</v>
      </c>
    </row>
    <row r="55">
      <c r="C55" s="24" t="s">
        <v>83</v>
      </c>
      <c r="D55" s="24">
        <v>1000.0</v>
      </c>
      <c r="E55" s="27" t="str">
        <f t="shared" ref="E55:E61" si="5">E54*10</f>
        <v>10240</v>
      </c>
      <c r="F55" s="27" t="s">
        <v>490</v>
      </c>
      <c r="G55" s="27" t="s">
        <v>491</v>
      </c>
      <c r="H55" s="27" t="s">
        <v>492</v>
      </c>
      <c r="I55" s="27" t="s">
        <v>493</v>
      </c>
      <c r="K55" s="27" t="s">
        <v>494</v>
      </c>
      <c r="L55" s="27" t="s">
        <v>495</v>
      </c>
      <c r="M55" s="27" t="s">
        <v>496</v>
      </c>
      <c r="N55" s="27" t="s">
        <v>497</v>
      </c>
    </row>
    <row r="56">
      <c r="C56" s="24" t="s">
        <v>84</v>
      </c>
      <c r="D56" s="24">
        <v>1000.0</v>
      </c>
      <c r="E56" s="27" t="str">
        <f t="shared" si="5"/>
        <v>102400</v>
      </c>
      <c r="F56" s="27" t="s">
        <v>498</v>
      </c>
      <c r="G56" s="27" t="s">
        <v>499</v>
      </c>
      <c r="H56" s="27" t="s">
        <v>500</v>
      </c>
      <c r="I56" s="27" t="s">
        <v>501</v>
      </c>
      <c r="K56" s="27" t="s">
        <v>502</v>
      </c>
      <c r="L56" s="27" t="s">
        <v>503</v>
      </c>
      <c r="M56" s="27" t="s">
        <v>504</v>
      </c>
      <c r="N56" s="27" t="s">
        <v>505</v>
      </c>
    </row>
    <row r="57">
      <c r="C57" s="24" t="s">
        <v>85</v>
      </c>
      <c r="D57" s="24">
        <v>1000.0</v>
      </c>
      <c r="E57" s="27" t="str">
        <f t="shared" si="5"/>
        <v>1024000</v>
      </c>
      <c r="F57" s="27" t="s">
        <v>506</v>
      </c>
      <c r="G57" s="27" t="s">
        <v>507</v>
      </c>
      <c r="H57" s="27" t="s">
        <v>508</v>
      </c>
      <c r="I57" s="27" t="s">
        <v>509</v>
      </c>
      <c r="K57" s="27" t="s">
        <v>510</v>
      </c>
      <c r="L57" s="27" t="s">
        <v>511</v>
      </c>
      <c r="M57" s="27" t="s">
        <v>512</v>
      </c>
      <c r="N57" s="27" t="s">
        <v>513</v>
      </c>
    </row>
    <row r="58">
      <c r="C58" s="24" t="s">
        <v>86</v>
      </c>
      <c r="D58" s="24">
        <v>1000.0</v>
      </c>
      <c r="E58" s="27" t="str">
        <f t="shared" si="5"/>
        <v>10240000</v>
      </c>
      <c r="F58" s="27" t="s">
        <v>514</v>
      </c>
      <c r="G58" s="27" t="s">
        <v>515</v>
      </c>
      <c r="H58" s="27" t="s">
        <v>516</v>
      </c>
      <c r="I58" s="200" t="s">
        <v>517</v>
      </c>
    </row>
    <row r="59">
      <c r="C59" s="24" t="s">
        <v>87</v>
      </c>
      <c r="D59" s="24">
        <v>100.0</v>
      </c>
      <c r="E59" s="27" t="str">
        <f t="shared" si="5"/>
        <v>102400000</v>
      </c>
    </row>
    <row r="60">
      <c r="C60" s="24" t="s">
        <v>88</v>
      </c>
      <c r="D60" s="24">
        <v>10.0</v>
      </c>
      <c r="E60" s="27" t="str">
        <f t="shared" si="5"/>
        <v>1024000000</v>
      </c>
    </row>
    <row r="61">
      <c r="C61" s="24" t="s">
        <v>89</v>
      </c>
      <c r="D61" s="24">
        <v>1.0</v>
      </c>
      <c r="E61" s="27" t="str">
        <f t="shared" si="5"/>
        <v>10240000000</v>
      </c>
      <c r="F61" s="27" t="s">
        <v>518</v>
      </c>
      <c r="G61" s="27" t="s">
        <v>519</v>
      </c>
      <c r="H61" s="27" t="s">
        <v>520</v>
      </c>
      <c r="I61" s="27" t="s">
        <v>521</v>
      </c>
      <c r="J61" s="27" t="s">
        <v>342</v>
      </c>
    </row>
    <row r="63">
      <c r="M63" s="191"/>
    </row>
    <row r="64">
      <c r="C64" s="129"/>
      <c r="D64" s="20" t="s">
        <v>41</v>
      </c>
      <c r="E64" s="20" t="s">
        <v>42</v>
      </c>
      <c r="F64" s="130" t="s">
        <v>43</v>
      </c>
      <c r="G64" s="8"/>
      <c r="H64" s="9"/>
      <c r="I64" s="131" t="s">
        <v>44</v>
      </c>
      <c r="J64" s="8"/>
      <c r="K64" s="9"/>
      <c r="L64" s="131" t="s">
        <v>45</v>
      </c>
      <c r="M64" s="8"/>
      <c r="N64" s="9"/>
      <c r="O64" s="131" t="s">
        <v>46</v>
      </c>
      <c r="P64" s="8"/>
      <c r="Q64" s="9"/>
    </row>
    <row r="65">
      <c r="C65" s="24"/>
      <c r="D65" s="24"/>
      <c r="E65" s="24"/>
      <c r="F65" s="118" t="s">
        <v>16</v>
      </c>
      <c r="G65" s="118" t="s">
        <v>0</v>
      </c>
      <c r="H65" s="118" t="s">
        <v>171</v>
      </c>
      <c r="I65" s="118" t="s">
        <v>16</v>
      </c>
      <c r="J65" s="118" t="s">
        <v>0</v>
      </c>
      <c r="K65" s="118" t="s">
        <v>171</v>
      </c>
      <c r="L65" s="118" t="s">
        <v>16</v>
      </c>
      <c r="M65" s="118" t="s">
        <v>0</v>
      </c>
      <c r="N65" s="118" t="s">
        <v>171</v>
      </c>
      <c r="O65" s="118" t="s">
        <v>16</v>
      </c>
      <c r="P65" s="118" t="s">
        <v>0</v>
      </c>
      <c r="Q65" s="118" t="s">
        <v>171</v>
      </c>
    </row>
    <row r="66">
      <c r="C66" s="24" t="s">
        <v>91</v>
      </c>
      <c r="D66" s="24">
        <v>10000.0</v>
      </c>
      <c r="E66" s="24">
        <v>0.0</v>
      </c>
      <c r="F66" s="118" t="s">
        <v>522</v>
      </c>
      <c r="G66" s="118" t="s">
        <v>523</v>
      </c>
      <c r="H66" s="118" t="s">
        <v>524</v>
      </c>
      <c r="I66" s="118" t="s">
        <v>525</v>
      </c>
      <c r="J66" s="118" t="s">
        <v>526</v>
      </c>
      <c r="K66" s="118" t="s">
        <v>527</v>
      </c>
      <c r="L66" s="118" t="s">
        <v>528</v>
      </c>
      <c r="M66" s="118" t="s">
        <v>529</v>
      </c>
      <c r="N66" s="118" t="s">
        <v>530</v>
      </c>
      <c r="O66" s="118" t="s">
        <v>531</v>
      </c>
      <c r="P66" s="118" t="s">
        <v>532</v>
      </c>
      <c r="Q66" s="118" t="s">
        <v>533</v>
      </c>
    </row>
    <row r="67">
      <c r="C67" s="24" t="s">
        <v>82</v>
      </c>
      <c r="D67" s="24">
        <v>10000.0</v>
      </c>
      <c r="E67" s="24">
        <v>1024.0</v>
      </c>
      <c r="F67" s="43" t="s">
        <v>534</v>
      </c>
      <c r="G67" s="43" t="s">
        <v>535</v>
      </c>
      <c r="H67" s="43" t="s">
        <v>536</v>
      </c>
      <c r="I67" s="43" t="s">
        <v>537</v>
      </c>
      <c r="J67" s="43" t="s">
        <v>538</v>
      </c>
      <c r="K67" s="43" t="s">
        <v>539</v>
      </c>
      <c r="L67" s="43" t="s">
        <v>540</v>
      </c>
      <c r="M67" s="43" t="s">
        <v>541</v>
      </c>
      <c r="N67" s="43" t="s">
        <v>542</v>
      </c>
      <c r="O67" s="43" t="s">
        <v>543</v>
      </c>
      <c r="P67" s="43" t="s">
        <v>544</v>
      </c>
      <c r="Q67" s="43" t="s">
        <v>545</v>
      </c>
    </row>
    <row r="68">
      <c r="C68" s="24" t="s">
        <v>83</v>
      </c>
      <c r="D68" s="24">
        <v>1000.0</v>
      </c>
      <c r="E68" s="24" t="str">
        <f t="shared" ref="E68:E74" si="6">E67*10</f>
        <v>10240</v>
      </c>
      <c r="F68" s="43" t="s">
        <v>546</v>
      </c>
      <c r="G68" s="43" t="s">
        <v>547</v>
      </c>
      <c r="H68" s="43" t="s">
        <v>548</v>
      </c>
      <c r="I68" s="43" t="s">
        <v>549</v>
      </c>
      <c r="J68" s="43" t="s">
        <v>550</v>
      </c>
      <c r="K68" s="43" t="s">
        <v>551</v>
      </c>
      <c r="L68" s="43" t="s">
        <v>552</v>
      </c>
      <c r="M68" s="43" t="s">
        <v>553</v>
      </c>
      <c r="N68" s="43" t="s">
        <v>554</v>
      </c>
      <c r="O68" s="43" t="s">
        <v>555</v>
      </c>
      <c r="P68" s="43" t="s">
        <v>556</v>
      </c>
      <c r="Q68" s="43" t="s">
        <v>557</v>
      </c>
    </row>
    <row r="69">
      <c r="C69" s="24" t="s">
        <v>84</v>
      </c>
      <c r="D69" s="24">
        <v>1000.0</v>
      </c>
      <c r="E69" s="24" t="str">
        <f t="shared" si="6"/>
        <v>102400</v>
      </c>
      <c r="F69" s="43" t="s">
        <v>558</v>
      </c>
      <c r="G69" s="43" t="s">
        <v>559</v>
      </c>
      <c r="H69" s="43" t="s">
        <v>560</v>
      </c>
      <c r="I69" s="43" t="s">
        <v>561</v>
      </c>
      <c r="J69" s="43" t="s">
        <v>562</v>
      </c>
      <c r="K69" s="43" t="s">
        <v>563</v>
      </c>
      <c r="L69" s="43" t="s">
        <v>564</v>
      </c>
      <c r="M69" s="43" t="s">
        <v>565</v>
      </c>
      <c r="N69" s="43" t="s">
        <v>566</v>
      </c>
      <c r="O69" s="43" t="s">
        <v>567</v>
      </c>
      <c r="P69" s="43" t="s">
        <v>568</v>
      </c>
      <c r="Q69" s="43" t="s">
        <v>569</v>
      </c>
    </row>
    <row r="70">
      <c r="C70" s="24" t="s">
        <v>85</v>
      </c>
      <c r="D70" s="24">
        <v>1000.0</v>
      </c>
      <c r="E70" s="24" t="str">
        <f t="shared" si="6"/>
        <v>1024000</v>
      </c>
      <c r="F70" s="43" t="s">
        <v>570</v>
      </c>
      <c r="G70" s="43" t="s">
        <v>571</v>
      </c>
      <c r="H70" s="43" t="s">
        <v>572</v>
      </c>
      <c r="I70" s="43" t="s">
        <v>573</v>
      </c>
      <c r="J70" s="43" t="s">
        <v>574</v>
      </c>
      <c r="K70" s="43" t="s">
        <v>575</v>
      </c>
      <c r="L70" s="43" t="s">
        <v>576</v>
      </c>
      <c r="M70" s="43" t="s">
        <v>577</v>
      </c>
      <c r="N70" s="43" t="s">
        <v>578</v>
      </c>
      <c r="O70" s="43" t="s">
        <v>579</v>
      </c>
      <c r="P70" s="43" t="s">
        <v>580</v>
      </c>
      <c r="Q70" s="43" t="s">
        <v>581</v>
      </c>
    </row>
    <row r="71">
      <c r="C71" s="24" t="s">
        <v>86</v>
      </c>
      <c r="D71" s="24">
        <v>1000.0</v>
      </c>
      <c r="E71" s="24" t="str">
        <f t="shared" si="6"/>
        <v>10240000</v>
      </c>
      <c r="F71" s="43" t="s">
        <v>582</v>
      </c>
      <c r="G71" s="43"/>
      <c r="H71" s="43"/>
      <c r="I71" s="43" t="s">
        <v>583</v>
      </c>
      <c r="J71" s="43"/>
      <c r="K71" s="43"/>
      <c r="L71" s="43" t="s">
        <v>584</v>
      </c>
      <c r="M71" s="43"/>
      <c r="N71" s="43"/>
      <c r="O71" s="43" t="s">
        <v>585</v>
      </c>
      <c r="P71" s="43"/>
      <c r="Q71" s="43"/>
    </row>
    <row r="72">
      <c r="C72" s="24" t="s">
        <v>87</v>
      </c>
      <c r="D72" s="24">
        <v>100.0</v>
      </c>
      <c r="E72" s="24" t="str">
        <f t="shared" si="6"/>
        <v>102400000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>
      <c r="C73" s="24" t="s">
        <v>88</v>
      </c>
      <c r="D73" s="24">
        <v>10.0</v>
      </c>
      <c r="E73" s="24" t="str">
        <f t="shared" si="6"/>
        <v>1024000000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>
      <c r="C74" s="24" t="s">
        <v>89</v>
      </c>
      <c r="D74" s="24">
        <v>1.0</v>
      </c>
      <c r="E74" s="24" t="str">
        <f t="shared" si="6"/>
        <v>10240000000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>
      <c r="M75" s="191"/>
    </row>
    <row r="76">
      <c r="M76" s="191"/>
    </row>
    <row r="77">
      <c r="M77" s="191"/>
    </row>
    <row r="78">
      <c r="C78" s="129"/>
      <c r="D78" s="20" t="s">
        <v>41</v>
      </c>
      <c r="E78" s="20" t="s">
        <v>42</v>
      </c>
      <c r="F78" s="130" t="s">
        <v>43</v>
      </c>
      <c r="G78" s="8"/>
      <c r="H78" s="9"/>
      <c r="I78" s="131" t="s">
        <v>44</v>
      </c>
      <c r="J78" s="8"/>
      <c r="K78" s="9"/>
      <c r="L78" s="131" t="s">
        <v>45</v>
      </c>
      <c r="M78" s="8"/>
      <c r="N78" s="9"/>
      <c r="O78" s="131" t="s">
        <v>46</v>
      </c>
      <c r="P78" s="8"/>
      <c r="Q78" s="9"/>
    </row>
    <row r="79">
      <c r="C79" s="24"/>
      <c r="D79" s="24"/>
      <c r="E79" s="24"/>
      <c r="F79" s="118" t="s">
        <v>16</v>
      </c>
      <c r="G79" s="118" t="s">
        <v>0</v>
      </c>
      <c r="H79" s="118" t="s">
        <v>171</v>
      </c>
      <c r="I79" s="118" t="s">
        <v>16</v>
      </c>
      <c r="J79" s="118" t="s">
        <v>0</v>
      </c>
      <c r="K79" s="118" t="s">
        <v>171</v>
      </c>
      <c r="L79" s="118" t="s">
        <v>16</v>
      </c>
      <c r="M79" s="118" t="s">
        <v>0</v>
      </c>
      <c r="N79" s="118" t="s">
        <v>171</v>
      </c>
      <c r="O79" s="118" t="s">
        <v>16</v>
      </c>
      <c r="P79" s="118" t="s">
        <v>0</v>
      </c>
      <c r="Q79" s="118" t="s">
        <v>171</v>
      </c>
    </row>
    <row r="80">
      <c r="C80" s="24" t="s">
        <v>91</v>
      </c>
      <c r="D80" s="24">
        <v>10000.0</v>
      </c>
      <c r="E80" s="24">
        <v>0.0</v>
      </c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</row>
    <row r="81">
      <c r="C81" s="24" t="s">
        <v>82</v>
      </c>
      <c r="D81" s="24">
        <v>10000.0</v>
      </c>
      <c r="E81" s="24">
        <v>1024.0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>
      <c r="C82" s="24" t="s">
        <v>83</v>
      </c>
      <c r="D82" s="24">
        <v>1000.0</v>
      </c>
      <c r="E82" s="24" t="str">
        <f t="shared" ref="E82:E88" si="7">E81*10</f>
        <v>10240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  <row r="83">
      <c r="C83" s="24" t="s">
        <v>84</v>
      </c>
      <c r="D83" s="24">
        <v>1000.0</v>
      </c>
      <c r="E83" s="24" t="str">
        <f t="shared" si="7"/>
        <v>102400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</row>
    <row r="84">
      <c r="C84" s="24" t="s">
        <v>85</v>
      </c>
      <c r="D84" s="24">
        <v>1000.0</v>
      </c>
      <c r="E84" s="24" t="str">
        <f t="shared" si="7"/>
        <v>1024000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</row>
    <row r="85">
      <c r="C85" s="24" t="s">
        <v>86</v>
      </c>
      <c r="D85" s="24">
        <v>1000.0</v>
      </c>
      <c r="E85" s="24" t="str">
        <f t="shared" si="7"/>
        <v>10240000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</row>
    <row r="86">
      <c r="C86" s="24" t="s">
        <v>87</v>
      </c>
      <c r="D86" s="24">
        <v>100.0</v>
      </c>
      <c r="E86" s="24" t="str">
        <f t="shared" si="7"/>
        <v>102400000</v>
      </c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</row>
    <row r="87">
      <c r="C87" s="24" t="s">
        <v>88</v>
      </c>
      <c r="D87" s="24">
        <v>10.0</v>
      </c>
      <c r="E87" s="24" t="str">
        <f t="shared" si="7"/>
        <v>1024000000</v>
      </c>
      <c r="F87" s="43" t="s">
        <v>586</v>
      </c>
      <c r="G87" s="43" t="s">
        <v>587</v>
      </c>
      <c r="H87" s="43"/>
      <c r="I87" s="43" t="s">
        <v>588</v>
      </c>
      <c r="J87" s="43" t="s">
        <v>589</v>
      </c>
      <c r="K87" s="43"/>
      <c r="L87" s="43" t="s">
        <v>590</v>
      </c>
      <c r="M87" s="43" t="s">
        <v>591</v>
      </c>
      <c r="N87" s="43"/>
      <c r="O87" s="43" t="s">
        <v>592</v>
      </c>
      <c r="P87" s="43" t="s">
        <v>593</v>
      </c>
      <c r="Q87" s="43"/>
    </row>
    <row r="88">
      <c r="C88" s="24" t="s">
        <v>89</v>
      </c>
      <c r="D88" s="24">
        <v>1.0</v>
      </c>
      <c r="E88" s="24" t="str">
        <f t="shared" si="7"/>
        <v>10240000000</v>
      </c>
      <c r="F88" s="43" t="s">
        <v>594</v>
      </c>
      <c r="G88" s="43" t="s">
        <v>595</v>
      </c>
      <c r="H88" s="43" t="s">
        <v>596</v>
      </c>
      <c r="I88" s="43" t="s">
        <v>597</v>
      </c>
      <c r="J88" s="43" t="s">
        <v>598</v>
      </c>
      <c r="K88" s="43" t="s">
        <v>599</v>
      </c>
      <c r="L88" s="43" t="s">
        <v>600</v>
      </c>
      <c r="M88" s="43" t="s">
        <v>601</v>
      </c>
      <c r="N88" s="43" t="s">
        <v>602</v>
      </c>
      <c r="O88" s="43" t="s">
        <v>603</v>
      </c>
      <c r="P88" s="43" t="s">
        <v>604</v>
      </c>
      <c r="Q88" s="43" t="s">
        <v>605</v>
      </c>
    </row>
    <row r="89">
      <c r="M89" s="191"/>
    </row>
    <row r="90">
      <c r="M90" s="191"/>
    </row>
    <row r="91">
      <c r="M91" s="191"/>
    </row>
    <row r="92">
      <c r="M92" s="191"/>
    </row>
    <row r="93">
      <c r="M93" s="191"/>
    </row>
    <row r="94">
      <c r="M94" s="191"/>
    </row>
    <row r="95">
      <c r="M95" s="191"/>
    </row>
    <row r="96">
      <c r="M96" s="191"/>
    </row>
    <row r="97">
      <c r="M97" s="191"/>
    </row>
    <row r="98">
      <c r="M98" s="191"/>
    </row>
    <row r="99">
      <c r="M99" s="191"/>
    </row>
    <row r="100">
      <c r="M100" s="191"/>
    </row>
    <row r="101">
      <c r="M101" s="191"/>
    </row>
    <row r="102">
      <c r="M102" s="191"/>
    </row>
    <row r="103">
      <c r="M103" s="191"/>
    </row>
    <row r="104">
      <c r="M104" s="191"/>
    </row>
    <row r="105">
      <c r="M105" s="191"/>
    </row>
    <row r="106">
      <c r="M106" s="191"/>
    </row>
    <row r="107">
      <c r="M107" s="191"/>
    </row>
    <row r="108">
      <c r="B108" s="24" t="s">
        <v>81</v>
      </c>
      <c r="C108" s="110" t="s">
        <v>91</v>
      </c>
      <c r="D108" s="8"/>
      <c r="E108" s="110" t="s">
        <v>82</v>
      </c>
      <c r="F108" s="8"/>
      <c r="G108" s="110" t="s">
        <v>83</v>
      </c>
      <c r="H108" s="8"/>
      <c r="I108" s="110" t="s">
        <v>84</v>
      </c>
      <c r="J108" s="8"/>
      <c r="K108" s="110" t="s">
        <v>85</v>
      </c>
      <c r="L108" s="8"/>
      <c r="M108" s="110" t="s">
        <v>86</v>
      </c>
      <c r="N108" s="8"/>
      <c r="O108" s="110" t="s">
        <v>87</v>
      </c>
      <c r="P108" s="8"/>
      <c r="Q108" s="110" t="s">
        <v>88</v>
      </c>
      <c r="R108" s="9"/>
      <c r="S108" s="110" t="s">
        <v>89</v>
      </c>
      <c r="T108" s="9"/>
      <c r="U108" s="111" t="s">
        <v>90</v>
      </c>
    </row>
    <row r="109">
      <c r="B109" s="24" t="s">
        <v>92</v>
      </c>
      <c r="C109" s="110">
        <v>10000.0</v>
      </c>
      <c r="D109" s="8"/>
      <c r="E109" s="110">
        <v>10000.0</v>
      </c>
      <c r="F109" s="8"/>
      <c r="G109" s="110">
        <v>1000.0</v>
      </c>
      <c r="H109" s="8"/>
      <c r="I109" s="110">
        <v>1000.0</v>
      </c>
      <c r="J109" s="8"/>
      <c r="K109" s="110">
        <v>1000.0</v>
      </c>
      <c r="L109" s="8"/>
      <c r="M109" s="110">
        <v>1000.0</v>
      </c>
      <c r="N109" s="8"/>
      <c r="O109" s="110">
        <v>100.0</v>
      </c>
      <c r="P109" s="8"/>
      <c r="Q109" s="110">
        <v>10.0</v>
      </c>
      <c r="R109" s="9"/>
      <c r="S109" s="110">
        <v>1.0</v>
      </c>
      <c r="T109" s="9"/>
      <c r="U109" s="111" t="s">
        <v>93</v>
      </c>
    </row>
    <row r="110">
      <c r="B110" s="112"/>
      <c r="C110" s="43" t="s">
        <v>16</v>
      </c>
      <c r="D110" s="43" t="s">
        <v>0</v>
      </c>
      <c r="E110" s="43" t="s">
        <v>16</v>
      </c>
      <c r="F110" s="43" t="s">
        <v>0</v>
      </c>
      <c r="G110" s="43" t="s">
        <v>16</v>
      </c>
      <c r="H110" s="43" t="s">
        <v>0</v>
      </c>
      <c r="I110" s="43" t="s">
        <v>16</v>
      </c>
      <c r="J110" s="43" t="s">
        <v>0</v>
      </c>
      <c r="K110" s="43" t="s">
        <v>16</v>
      </c>
      <c r="L110" s="43" t="s">
        <v>0</v>
      </c>
      <c r="M110" s="43" t="s">
        <v>16</v>
      </c>
      <c r="N110" s="43" t="s">
        <v>0</v>
      </c>
      <c r="O110" s="43" t="s">
        <v>16</v>
      </c>
      <c r="P110" s="43" t="s">
        <v>0</v>
      </c>
      <c r="Q110" s="43" t="s">
        <v>16</v>
      </c>
      <c r="R110" s="43" t="s">
        <v>0</v>
      </c>
      <c r="S110" s="43" t="s">
        <v>16</v>
      </c>
      <c r="T110" s="43" t="s">
        <v>0</v>
      </c>
    </row>
    <row r="111">
      <c r="B111" s="116" t="s">
        <v>43</v>
      </c>
      <c r="C111" s="43">
        <v>13.671</v>
      </c>
      <c r="D111" s="43">
        <v>16.923</v>
      </c>
      <c r="E111" s="43">
        <v>13.858</v>
      </c>
      <c r="F111" s="118">
        <v>17.449</v>
      </c>
      <c r="G111" s="118">
        <v>2.679</v>
      </c>
      <c r="H111" s="118">
        <v>182.85</v>
      </c>
      <c r="I111" s="43">
        <v>4.505</v>
      </c>
      <c r="J111" s="43">
        <v>181.287</v>
      </c>
      <c r="K111" s="43">
        <v>23.059</v>
      </c>
      <c r="L111" s="43">
        <v>183.353</v>
      </c>
      <c r="M111" s="43">
        <v>223.987</v>
      </c>
      <c r="N111" s="43">
        <v>171.601</v>
      </c>
      <c r="O111" s="43">
        <v>241.787</v>
      </c>
      <c r="P111" s="43">
        <v>447.386</v>
      </c>
      <c r="Q111" s="118">
        <v>241.384</v>
      </c>
      <c r="R111" s="118">
        <v>392.183</v>
      </c>
      <c r="S111" s="24">
        <v>238.318</v>
      </c>
      <c r="T111" s="24">
        <v>194.984</v>
      </c>
    </row>
    <row r="112">
      <c r="B112" s="116" t="s">
        <v>44</v>
      </c>
      <c r="C112" s="43"/>
      <c r="D112" s="43"/>
      <c r="E112" s="43">
        <v>16.335</v>
      </c>
      <c r="F112" s="118"/>
      <c r="G112" s="118">
        <v>2.879</v>
      </c>
      <c r="H112" s="118">
        <v>182.014</v>
      </c>
      <c r="I112" s="118">
        <v>4.738</v>
      </c>
      <c r="J112" s="118">
        <v>180.641</v>
      </c>
      <c r="K112" s="118">
        <v>23.837</v>
      </c>
      <c r="L112" s="43">
        <v>181.43</v>
      </c>
      <c r="M112" s="43">
        <v>231.297</v>
      </c>
      <c r="N112" s="43">
        <v>171.762</v>
      </c>
      <c r="O112" s="43">
        <v>222.737</v>
      </c>
      <c r="P112" s="43">
        <v>454.074</v>
      </c>
      <c r="Q112" s="118">
        <v>224.778</v>
      </c>
      <c r="R112" s="118">
        <v>396.122</v>
      </c>
      <c r="S112" s="24">
        <v>222.134</v>
      </c>
      <c r="T112" s="24">
        <v>193.547</v>
      </c>
    </row>
    <row r="113">
      <c r="B113" s="116" t="s">
        <v>45</v>
      </c>
      <c r="C113" s="43"/>
      <c r="D113" s="43"/>
      <c r="E113" s="43">
        <v>24.401</v>
      </c>
      <c r="F113" s="118"/>
      <c r="G113" s="118">
        <v>2.73</v>
      </c>
      <c r="H113" s="118">
        <v>182.484</v>
      </c>
      <c r="I113" s="118">
        <v>4.587</v>
      </c>
      <c r="J113" s="118">
        <v>181.024</v>
      </c>
      <c r="K113" s="118">
        <v>23.74</v>
      </c>
      <c r="L113" s="43">
        <v>181.809</v>
      </c>
      <c r="M113" s="43">
        <v>225.318</v>
      </c>
      <c r="N113" s="43">
        <v>172.135</v>
      </c>
      <c r="O113" s="43">
        <v>226.667</v>
      </c>
      <c r="P113" s="43">
        <v>449.896</v>
      </c>
      <c r="Q113" s="118">
        <v>226.518</v>
      </c>
      <c r="R113" s="118">
        <v>399.294</v>
      </c>
      <c r="S113" s="24">
        <v>221.97</v>
      </c>
      <c r="T113" s="24">
        <v>193.897</v>
      </c>
    </row>
    <row r="114">
      <c r="B114" s="116" t="s">
        <v>46</v>
      </c>
      <c r="C114" s="43"/>
      <c r="D114" s="43"/>
      <c r="E114" s="43"/>
      <c r="F114" s="118"/>
      <c r="G114" s="118">
        <v>2.718</v>
      </c>
      <c r="H114" s="118">
        <v>183.287</v>
      </c>
      <c r="I114" s="118">
        <v>4.581</v>
      </c>
      <c r="J114" s="118">
        <v>181.788</v>
      </c>
      <c r="K114" s="118">
        <v>23.802</v>
      </c>
      <c r="L114" s="43">
        <v>184.75</v>
      </c>
      <c r="M114" s="43">
        <v>229.771</v>
      </c>
      <c r="N114" s="43">
        <v>172.426</v>
      </c>
      <c r="O114" s="115">
        <v>222.59</v>
      </c>
      <c r="P114" s="43">
        <v>454.769</v>
      </c>
      <c r="Q114" s="118">
        <v>223.595</v>
      </c>
      <c r="R114" s="118">
        <v>393.958</v>
      </c>
      <c r="S114" s="24">
        <v>220.328</v>
      </c>
      <c r="T114" s="24">
        <v>189.09</v>
      </c>
    </row>
    <row r="115">
      <c r="B115" s="116" t="s">
        <v>96</v>
      </c>
      <c r="C115" s="43"/>
      <c r="D115" s="43"/>
      <c r="E115" s="43"/>
      <c r="F115" s="118"/>
      <c r="G115" s="118">
        <v>2.71</v>
      </c>
      <c r="H115" s="118">
        <v>182.565</v>
      </c>
      <c r="I115" s="118">
        <v>4.563</v>
      </c>
      <c r="J115" s="118">
        <v>181.285</v>
      </c>
      <c r="K115" s="118">
        <v>23.167</v>
      </c>
      <c r="L115" s="43">
        <v>182.604</v>
      </c>
      <c r="M115" s="43">
        <v>225.868</v>
      </c>
      <c r="N115" s="43">
        <v>172.22</v>
      </c>
      <c r="O115" s="43">
        <v>220.986</v>
      </c>
      <c r="P115" s="43">
        <v>454.265</v>
      </c>
      <c r="Q115" s="118">
        <v>221.322</v>
      </c>
      <c r="R115" s="118">
        <v>392.915</v>
      </c>
      <c r="S115" s="24">
        <v>217.554</v>
      </c>
      <c r="T115" s="24">
        <v>192.604</v>
      </c>
    </row>
    <row r="116">
      <c r="B116" s="116" t="s">
        <v>97</v>
      </c>
      <c r="C116" s="43"/>
      <c r="D116" s="43"/>
      <c r="E116" s="43"/>
      <c r="F116" s="118"/>
      <c r="G116" s="118">
        <v>2.828</v>
      </c>
      <c r="H116" s="118">
        <v>182.423</v>
      </c>
      <c r="I116" s="118">
        <v>4.586</v>
      </c>
      <c r="J116" s="118">
        <v>181.038</v>
      </c>
      <c r="K116" s="118">
        <v>23.154</v>
      </c>
      <c r="L116" s="43">
        <v>182.472</v>
      </c>
      <c r="M116" s="43">
        <v>224.571</v>
      </c>
      <c r="N116" s="43">
        <v>171.686</v>
      </c>
      <c r="O116" s="43">
        <v>223.803</v>
      </c>
      <c r="P116" s="43">
        <v>450.814</v>
      </c>
      <c r="Q116" s="118">
        <v>223.845</v>
      </c>
      <c r="R116" s="118">
        <v>387.317</v>
      </c>
      <c r="S116" s="24">
        <v>221.242</v>
      </c>
      <c r="T116" s="24">
        <v>190.859</v>
      </c>
    </row>
    <row r="117">
      <c r="B117" s="116" t="s">
        <v>98</v>
      </c>
      <c r="C117" s="43"/>
      <c r="D117" s="43">
        <v>18.686</v>
      </c>
      <c r="E117" s="43"/>
      <c r="F117" s="118"/>
      <c r="G117" s="118">
        <v>2.87</v>
      </c>
      <c r="H117" s="118">
        <v>183.012</v>
      </c>
      <c r="I117" s="118">
        <v>4.849</v>
      </c>
      <c r="J117" s="118">
        <v>181.622</v>
      </c>
      <c r="K117" s="118">
        <v>23.961</v>
      </c>
      <c r="L117" s="43">
        <v>184.596</v>
      </c>
      <c r="M117" s="43">
        <v>230.035</v>
      </c>
      <c r="N117" s="43">
        <v>172.756</v>
      </c>
      <c r="O117" s="43">
        <v>220.92</v>
      </c>
      <c r="P117" s="43">
        <v>451.865</v>
      </c>
      <c r="Q117" s="118">
        <v>221.443</v>
      </c>
      <c r="R117" s="118">
        <v>391.349</v>
      </c>
      <c r="S117" s="24">
        <v>218.919</v>
      </c>
      <c r="T117" s="24">
        <v>196.655</v>
      </c>
    </row>
    <row r="118">
      <c r="B118" s="116" t="s">
        <v>99</v>
      </c>
      <c r="C118" s="43"/>
      <c r="D118" s="43">
        <v>16.511</v>
      </c>
      <c r="E118" s="43"/>
      <c r="F118" s="118"/>
      <c r="G118" s="118">
        <v>2.87</v>
      </c>
      <c r="H118" s="118">
        <v>182.163</v>
      </c>
      <c r="I118" s="118">
        <v>4.716</v>
      </c>
      <c r="J118" s="118">
        <v>180.963</v>
      </c>
      <c r="K118" s="118">
        <v>23.496</v>
      </c>
      <c r="L118" s="43">
        <v>184.829</v>
      </c>
      <c r="M118" s="43">
        <v>230.743</v>
      </c>
      <c r="N118" s="43">
        <v>171.994</v>
      </c>
      <c r="O118" s="43">
        <v>221.057</v>
      </c>
      <c r="P118" s="43">
        <v>448.551</v>
      </c>
      <c r="Q118" s="118">
        <v>222.04</v>
      </c>
      <c r="R118" s="118">
        <v>392.143</v>
      </c>
      <c r="S118" s="24">
        <v>218.281</v>
      </c>
      <c r="T118" s="24">
        <v>193.188</v>
      </c>
    </row>
    <row r="119">
      <c r="B119" s="116" t="s">
        <v>100</v>
      </c>
      <c r="C119" s="43"/>
      <c r="D119" s="43">
        <v>17.478</v>
      </c>
      <c r="E119" s="43"/>
      <c r="F119" s="118"/>
      <c r="G119" s="118">
        <v>2.867</v>
      </c>
      <c r="H119" s="118">
        <v>178.604</v>
      </c>
      <c r="I119" s="118">
        <v>4.761</v>
      </c>
      <c r="J119" s="118">
        <v>180.987</v>
      </c>
      <c r="K119" s="118">
        <v>25.22</v>
      </c>
      <c r="L119" s="43">
        <v>181.107</v>
      </c>
      <c r="M119" s="43">
        <v>242.498</v>
      </c>
      <c r="N119" s="43">
        <v>169.503</v>
      </c>
      <c r="O119" s="43">
        <v>221.984</v>
      </c>
      <c r="P119" s="43">
        <v>456.002</v>
      </c>
      <c r="Q119" s="118">
        <v>225.717</v>
      </c>
      <c r="R119" s="118">
        <v>392.315</v>
      </c>
      <c r="S119" s="24">
        <v>220.48</v>
      </c>
      <c r="T119" s="24">
        <v>192.87</v>
      </c>
    </row>
    <row r="120">
      <c r="B120" s="116" t="s">
        <v>101</v>
      </c>
      <c r="C120" s="43"/>
      <c r="D120" s="43"/>
      <c r="E120" s="43"/>
      <c r="F120" s="118"/>
      <c r="G120" s="118">
        <v>2.822</v>
      </c>
      <c r="H120" s="118">
        <v>181.071</v>
      </c>
      <c r="I120" s="118">
        <v>4.688</v>
      </c>
      <c r="J120" s="118">
        <v>179.653</v>
      </c>
      <c r="K120" s="118">
        <v>23.671</v>
      </c>
      <c r="L120" s="43">
        <v>182.033</v>
      </c>
      <c r="M120" s="43">
        <v>227.7</v>
      </c>
      <c r="N120" s="43">
        <v>170.816</v>
      </c>
      <c r="O120" s="43">
        <v>223.098</v>
      </c>
      <c r="P120" s="43">
        <v>447.918</v>
      </c>
      <c r="Q120" s="118">
        <v>225.579</v>
      </c>
      <c r="R120" s="118">
        <v>392.699</v>
      </c>
      <c r="S120" s="24">
        <v>221.898</v>
      </c>
      <c r="T120" s="24">
        <v>194.79</v>
      </c>
    </row>
    <row r="121">
      <c r="B121" s="116" t="s">
        <v>102</v>
      </c>
      <c r="C121" s="43"/>
      <c r="D121" s="43"/>
      <c r="E121" s="43"/>
      <c r="F121" s="118"/>
      <c r="G121" s="118">
        <v>2.918</v>
      </c>
      <c r="H121" s="118">
        <v>181.081</v>
      </c>
      <c r="I121" s="118">
        <v>4.837</v>
      </c>
      <c r="J121" s="118">
        <v>179.817</v>
      </c>
      <c r="K121" s="118">
        <v>24.225</v>
      </c>
      <c r="L121" s="43">
        <v>181.038</v>
      </c>
      <c r="M121" s="43">
        <v>231.484</v>
      </c>
      <c r="N121" s="43">
        <v>170.941</v>
      </c>
      <c r="O121" s="43">
        <v>221.625</v>
      </c>
      <c r="P121" s="43">
        <v>452.226</v>
      </c>
      <c r="Q121" s="118">
        <v>220.942</v>
      </c>
      <c r="R121" s="118">
        <v>390.719</v>
      </c>
      <c r="S121" s="24">
        <v>217.466</v>
      </c>
      <c r="T121" s="24">
        <v>193.907</v>
      </c>
    </row>
    <row r="122">
      <c r="B122" s="116" t="s">
        <v>103</v>
      </c>
      <c r="C122" s="43"/>
      <c r="D122" s="43">
        <v>18.848</v>
      </c>
      <c r="E122" s="43"/>
      <c r="F122" s="118"/>
      <c r="G122" s="118">
        <v>2.69</v>
      </c>
      <c r="H122" s="118">
        <v>182.581</v>
      </c>
      <c r="I122" s="118">
        <v>4.501</v>
      </c>
      <c r="J122" s="118">
        <v>181.122</v>
      </c>
      <c r="K122" s="118">
        <v>23.211</v>
      </c>
      <c r="L122" s="43">
        <v>182.427</v>
      </c>
      <c r="M122" s="43">
        <v>224.769</v>
      </c>
      <c r="N122" s="43">
        <v>172.002</v>
      </c>
      <c r="O122" s="43">
        <v>218.964</v>
      </c>
      <c r="P122" s="43">
        <v>451.659</v>
      </c>
      <c r="Q122" s="118">
        <v>220.484</v>
      </c>
      <c r="R122" s="118">
        <v>398.512</v>
      </c>
      <c r="S122" s="24">
        <v>218.661</v>
      </c>
      <c r="T122" s="24">
        <v>193.183</v>
      </c>
    </row>
    <row r="123">
      <c r="B123" s="116" t="s">
        <v>104</v>
      </c>
      <c r="C123" s="43"/>
      <c r="D123" s="43">
        <v>17.514</v>
      </c>
      <c r="E123" s="43"/>
      <c r="F123" s="118"/>
      <c r="G123" s="118">
        <v>2.751</v>
      </c>
      <c r="H123" s="118">
        <v>183.319</v>
      </c>
      <c r="I123" s="118">
        <v>4.54</v>
      </c>
      <c r="J123" s="118">
        <v>181.709</v>
      </c>
      <c r="K123" s="118">
        <v>22.975</v>
      </c>
      <c r="L123" s="43">
        <v>185.472</v>
      </c>
      <c r="M123" s="43">
        <v>226.592</v>
      </c>
      <c r="N123" s="43">
        <v>172.734</v>
      </c>
      <c r="O123" s="43">
        <v>221.005</v>
      </c>
      <c r="P123" s="43">
        <v>450.821</v>
      </c>
      <c r="Q123" s="118">
        <v>219.846</v>
      </c>
      <c r="R123" s="118">
        <v>396.266</v>
      </c>
      <c r="S123" s="24">
        <v>216.437</v>
      </c>
      <c r="T123" s="24">
        <v>193.028</v>
      </c>
    </row>
    <row r="124">
      <c r="B124" s="116" t="s">
        <v>105</v>
      </c>
      <c r="C124" s="43"/>
      <c r="D124" s="43">
        <v>16.54</v>
      </c>
      <c r="E124" s="43"/>
      <c r="F124" s="118"/>
      <c r="G124" s="118">
        <v>2.746</v>
      </c>
      <c r="H124" s="118">
        <v>181.05</v>
      </c>
      <c r="I124" s="118">
        <v>4.541</v>
      </c>
      <c r="J124" s="118">
        <v>179.613</v>
      </c>
      <c r="K124" s="118">
        <v>23.2</v>
      </c>
      <c r="L124" s="43">
        <v>181.991</v>
      </c>
      <c r="M124" s="43">
        <v>223.42</v>
      </c>
      <c r="N124" s="43">
        <v>170.684</v>
      </c>
      <c r="O124" s="43">
        <v>221.244</v>
      </c>
      <c r="P124" s="43">
        <v>454.391</v>
      </c>
      <c r="Q124" s="118">
        <v>222.975</v>
      </c>
      <c r="R124" s="118">
        <v>390.358</v>
      </c>
      <c r="S124" s="24">
        <v>218.565</v>
      </c>
      <c r="T124" s="24">
        <v>193.071</v>
      </c>
    </row>
    <row r="125">
      <c r="B125" s="116" t="s">
        <v>106</v>
      </c>
      <c r="C125" s="43"/>
      <c r="D125" s="43">
        <v>17.489</v>
      </c>
      <c r="E125" s="43"/>
      <c r="F125" s="118"/>
      <c r="G125" s="118">
        <v>2.919</v>
      </c>
      <c r="H125" s="118">
        <v>182.171</v>
      </c>
      <c r="I125" s="118">
        <v>4.937</v>
      </c>
      <c r="J125" s="118">
        <v>180.873</v>
      </c>
      <c r="K125" s="118">
        <v>25.484</v>
      </c>
      <c r="L125" s="43">
        <v>181.057</v>
      </c>
      <c r="M125" s="43">
        <v>245.395</v>
      </c>
      <c r="N125" s="43">
        <v>170.199</v>
      </c>
      <c r="O125" s="43">
        <v>221.592</v>
      </c>
      <c r="P125" s="43">
        <v>454.293</v>
      </c>
      <c r="Q125" s="118">
        <v>222.32</v>
      </c>
      <c r="R125" s="118">
        <v>393.307</v>
      </c>
      <c r="S125" s="24">
        <v>218.807</v>
      </c>
      <c r="T125" s="24">
        <v>194.225</v>
      </c>
    </row>
    <row r="126">
      <c r="B126" s="116" t="s">
        <v>107</v>
      </c>
      <c r="C126" s="43"/>
      <c r="D126" s="43">
        <v>17.371</v>
      </c>
      <c r="E126" s="43"/>
      <c r="F126" s="118"/>
      <c r="G126" s="118">
        <v>2.75</v>
      </c>
      <c r="H126" s="118">
        <v>182.392</v>
      </c>
      <c r="I126" s="118">
        <v>4.607</v>
      </c>
      <c r="J126" s="118">
        <v>180.927</v>
      </c>
      <c r="K126" s="118">
        <v>23.492</v>
      </c>
      <c r="L126" s="43">
        <v>181.968</v>
      </c>
      <c r="M126" s="43">
        <v>228.878</v>
      </c>
      <c r="N126" s="43">
        <v>172.176</v>
      </c>
      <c r="O126" s="43">
        <v>221.141</v>
      </c>
      <c r="P126" s="43">
        <v>452.587</v>
      </c>
      <c r="Q126" s="118">
        <v>223.301</v>
      </c>
      <c r="R126" s="118">
        <v>393.195</v>
      </c>
      <c r="S126" s="24">
        <v>219.662</v>
      </c>
      <c r="T126" s="24">
        <v>192.415</v>
      </c>
    </row>
    <row r="127">
      <c r="M127" s="191"/>
    </row>
    <row r="128">
      <c r="M128" s="191"/>
    </row>
    <row r="129">
      <c r="B129" s="24" t="s">
        <v>81</v>
      </c>
      <c r="C129" s="110" t="s">
        <v>91</v>
      </c>
      <c r="D129" s="8"/>
      <c r="E129" s="110" t="s">
        <v>82</v>
      </c>
      <c r="F129" s="8"/>
      <c r="G129" s="110" t="s">
        <v>83</v>
      </c>
      <c r="H129" s="8"/>
      <c r="I129" s="110" t="s">
        <v>84</v>
      </c>
      <c r="J129" s="8"/>
      <c r="K129" s="110" t="s">
        <v>85</v>
      </c>
      <c r="L129" s="8"/>
      <c r="M129" s="110" t="s">
        <v>86</v>
      </c>
      <c r="N129" s="8"/>
      <c r="O129" s="110" t="s">
        <v>87</v>
      </c>
      <c r="P129" s="8"/>
      <c r="Q129" s="110" t="s">
        <v>88</v>
      </c>
      <c r="R129" s="9"/>
      <c r="S129" s="110" t="s">
        <v>89</v>
      </c>
      <c r="T129" s="9"/>
      <c r="U129" s="111" t="s">
        <v>90</v>
      </c>
    </row>
    <row r="130">
      <c r="B130" s="24" t="s">
        <v>92</v>
      </c>
      <c r="C130" s="110">
        <v>10000.0</v>
      </c>
      <c r="D130" s="8"/>
      <c r="E130" s="110">
        <v>10000.0</v>
      </c>
      <c r="F130" s="8"/>
      <c r="G130" s="110">
        <v>1000.0</v>
      </c>
      <c r="H130" s="8"/>
      <c r="I130" s="110">
        <v>1000.0</v>
      </c>
      <c r="J130" s="8"/>
      <c r="K130" s="110">
        <v>1000.0</v>
      </c>
      <c r="L130" s="8"/>
      <c r="M130" s="110">
        <v>1000.0</v>
      </c>
      <c r="N130" s="8"/>
      <c r="O130" s="110">
        <v>100.0</v>
      </c>
      <c r="P130" s="8"/>
      <c r="Q130" s="110">
        <v>10.0</v>
      </c>
      <c r="R130" s="9"/>
      <c r="S130" s="110">
        <v>1.0</v>
      </c>
      <c r="T130" s="9"/>
      <c r="U130" s="111" t="s">
        <v>93</v>
      </c>
    </row>
    <row r="131">
      <c r="B131" s="112"/>
      <c r="C131" s="43" t="s">
        <v>16</v>
      </c>
      <c r="D131" s="43" t="s">
        <v>0</v>
      </c>
      <c r="E131" s="43" t="s">
        <v>16</v>
      </c>
      <c r="F131" s="43" t="s">
        <v>0</v>
      </c>
      <c r="G131" s="43" t="s">
        <v>16</v>
      </c>
      <c r="H131" s="43" t="s">
        <v>0</v>
      </c>
      <c r="I131" s="43" t="s">
        <v>16</v>
      </c>
      <c r="J131" s="43" t="s">
        <v>0</v>
      </c>
      <c r="K131" s="43" t="s">
        <v>16</v>
      </c>
      <c r="L131" s="43" t="s">
        <v>0</v>
      </c>
      <c r="M131" s="43" t="s">
        <v>16</v>
      </c>
      <c r="N131" s="43" t="s">
        <v>0</v>
      </c>
      <c r="O131" s="43" t="s">
        <v>16</v>
      </c>
      <c r="P131" s="43" t="s">
        <v>0</v>
      </c>
      <c r="Q131" s="43" t="s">
        <v>16</v>
      </c>
      <c r="R131" s="43" t="s">
        <v>0</v>
      </c>
      <c r="S131" s="43" t="s">
        <v>16</v>
      </c>
      <c r="T131" s="43" t="s">
        <v>0</v>
      </c>
    </row>
    <row r="132">
      <c r="B132" s="116" t="s">
        <v>43</v>
      </c>
      <c r="C132" s="27" t="str">
        <f>1.348*10</f>
        <v>13.48</v>
      </c>
      <c r="D132" s="27">
        <v>1.599</v>
      </c>
      <c r="E132" s="27">
        <v>1.365</v>
      </c>
      <c r="F132" s="27">
        <v>1.682</v>
      </c>
      <c r="G132" s="27">
        <v>1.382</v>
      </c>
      <c r="H132" s="27">
        <v>1.708</v>
      </c>
      <c r="I132" s="27">
        <v>1.511</v>
      </c>
      <c r="J132" s="27">
        <v>2.297</v>
      </c>
      <c r="K132" s="27">
        <v>2.636</v>
      </c>
      <c r="L132" s="27">
        <v>18.847</v>
      </c>
      <c r="M132" s="27">
        <v>103.554</v>
      </c>
      <c r="N132" s="27">
        <v>177.175</v>
      </c>
      <c r="Q132" s="118"/>
      <c r="R132" s="118"/>
      <c r="S132" s="24"/>
      <c r="T132" s="24"/>
    </row>
    <row r="133">
      <c r="B133" s="116" t="s">
        <v>44</v>
      </c>
      <c r="C133" s="27">
        <v>13.69</v>
      </c>
      <c r="D133" s="27">
        <v>1.699</v>
      </c>
      <c r="E133" s="27">
        <v>1.361</v>
      </c>
      <c r="F133" s="27">
        <v>1.705</v>
      </c>
      <c r="G133" s="27">
        <v>1.375</v>
      </c>
      <c r="H133" s="27">
        <v>1.724</v>
      </c>
      <c r="I133" s="27">
        <v>1.505</v>
      </c>
      <c r="J133" s="27">
        <v>2.186</v>
      </c>
      <c r="K133" s="27">
        <v>2.587</v>
      </c>
      <c r="L133" s="27">
        <v>18.677</v>
      </c>
      <c r="M133" s="27">
        <v>103.596</v>
      </c>
      <c r="N133" s="27">
        <v>178.28</v>
      </c>
      <c r="Q133" s="118"/>
      <c r="R133" s="118"/>
      <c r="S133" s="24"/>
      <c r="T133" s="24"/>
    </row>
    <row r="134">
      <c r="B134" s="116" t="s">
        <v>45</v>
      </c>
      <c r="C134" s="27">
        <v>1.337</v>
      </c>
      <c r="D134" s="27">
        <v>1.601</v>
      </c>
      <c r="E134" s="27">
        <v>1.358</v>
      </c>
      <c r="F134" s="27">
        <v>1.67</v>
      </c>
      <c r="G134" s="27">
        <v>1.371</v>
      </c>
      <c r="H134" s="27">
        <v>1.684</v>
      </c>
      <c r="I134" s="27">
        <v>1.483</v>
      </c>
      <c r="J134" s="27">
        <v>2.362</v>
      </c>
      <c r="K134" s="27">
        <v>2.531</v>
      </c>
      <c r="L134" s="27">
        <v>18.81</v>
      </c>
      <c r="M134" s="27">
        <v>103.618</v>
      </c>
      <c r="N134" s="27">
        <v>177.402</v>
      </c>
      <c r="Q134" s="118"/>
      <c r="R134" s="118"/>
      <c r="S134" s="24"/>
      <c r="T134" s="24"/>
    </row>
    <row r="135">
      <c r="B135" s="116" t="s">
        <v>46</v>
      </c>
      <c r="C135" s="27">
        <v>1.339</v>
      </c>
      <c r="D135" s="27">
        <v>1.61</v>
      </c>
      <c r="E135" s="27">
        <v>1.361</v>
      </c>
      <c r="F135" s="27">
        <v>1.659</v>
      </c>
      <c r="G135" s="27">
        <v>1.372</v>
      </c>
      <c r="H135" s="27">
        <v>1.689</v>
      </c>
      <c r="I135" s="27">
        <v>1.488</v>
      </c>
      <c r="J135" s="27">
        <v>2.268</v>
      </c>
      <c r="K135" s="27">
        <v>2.516</v>
      </c>
      <c r="L135" s="27">
        <v>19.077</v>
      </c>
      <c r="M135" s="27">
        <v>103.549</v>
      </c>
      <c r="N135" s="27">
        <v>177.448</v>
      </c>
      <c r="Q135" s="118"/>
      <c r="R135" s="118"/>
      <c r="S135" s="24"/>
      <c r="T135" s="24"/>
    </row>
    <row r="136">
      <c r="B136" s="116" t="s">
        <v>96</v>
      </c>
      <c r="C136" s="27">
        <v>1.345</v>
      </c>
      <c r="D136" s="27">
        <v>1.625</v>
      </c>
      <c r="E136" s="27">
        <v>1.364</v>
      </c>
      <c r="F136" s="27">
        <v>1.683</v>
      </c>
      <c r="G136" s="27">
        <v>1.378</v>
      </c>
      <c r="H136" s="27">
        <v>1.702</v>
      </c>
      <c r="I136" s="27">
        <v>1.497</v>
      </c>
      <c r="J136" s="27">
        <v>2.238</v>
      </c>
      <c r="K136" s="27">
        <v>2.537</v>
      </c>
      <c r="L136" s="27">
        <v>18.479</v>
      </c>
      <c r="M136" s="27">
        <v>103.609</v>
      </c>
      <c r="N136" s="27">
        <v>178.4</v>
      </c>
      <c r="Q136" s="118"/>
      <c r="R136" s="118"/>
      <c r="S136" s="24"/>
      <c r="T136" s="24"/>
    </row>
    <row r="137">
      <c r="B137" s="116" t="s">
        <v>97</v>
      </c>
      <c r="C137" s="27">
        <v>1.347</v>
      </c>
      <c r="D137" s="27">
        <v>1.599</v>
      </c>
      <c r="E137" s="27">
        <v>1.361</v>
      </c>
      <c r="F137" s="27">
        <v>1.694</v>
      </c>
      <c r="G137" s="27">
        <v>1.381</v>
      </c>
      <c r="H137" s="27">
        <v>1.732</v>
      </c>
      <c r="I137" s="27">
        <v>1.491</v>
      </c>
      <c r="J137" s="27">
        <v>2.251</v>
      </c>
      <c r="K137" s="27">
        <v>2.528</v>
      </c>
      <c r="L137" s="27">
        <v>18.705</v>
      </c>
      <c r="M137" s="27">
        <v>103.564</v>
      </c>
      <c r="N137" s="27">
        <v>178.337</v>
      </c>
      <c r="Q137" s="118"/>
      <c r="R137" s="118"/>
      <c r="S137" s="24"/>
      <c r="T137" s="24"/>
    </row>
    <row r="138">
      <c r="B138" s="116" t="s">
        <v>98</v>
      </c>
      <c r="C138" s="27">
        <v>1.34</v>
      </c>
      <c r="D138" s="27">
        <v>1.607</v>
      </c>
      <c r="E138" s="27">
        <v>1.365</v>
      </c>
      <c r="F138" s="27">
        <v>1.768</v>
      </c>
      <c r="G138" s="27">
        <v>1.375</v>
      </c>
      <c r="H138" s="27">
        <v>1.801</v>
      </c>
      <c r="I138" s="27">
        <v>1.491</v>
      </c>
      <c r="J138" s="27">
        <v>2.231</v>
      </c>
      <c r="K138" s="27">
        <v>2.763</v>
      </c>
      <c r="L138" s="27">
        <v>18.617</v>
      </c>
      <c r="M138" s="27">
        <v>103.688</v>
      </c>
      <c r="N138" s="27">
        <v>179.311</v>
      </c>
      <c r="Q138" s="118"/>
      <c r="R138" s="118"/>
      <c r="S138" s="24"/>
      <c r="T138" s="24"/>
    </row>
    <row r="139">
      <c r="B139" s="116" t="s">
        <v>99</v>
      </c>
      <c r="C139" s="27">
        <v>1.338</v>
      </c>
      <c r="D139" s="27">
        <v>1.605</v>
      </c>
      <c r="E139" s="27">
        <v>1.356</v>
      </c>
      <c r="F139" s="27">
        <v>1.69</v>
      </c>
      <c r="G139" s="27">
        <v>1.375</v>
      </c>
      <c r="H139" s="27">
        <v>1.708</v>
      </c>
      <c r="I139" s="27">
        <v>1.486</v>
      </c>
      <c r="J139" s="27">
        <v>2.237</v>
      </c>
      <c r="K139" s="27">
        <v>2.522</v>
      </c>
      <c r="L139" s="27">
        <v>18.258</v>
      </c>
      <c r="M139" s="27">
        <v>103.534</v>
      </c>
      <c r="N139" s="27">
        <v>178.784</v>
      </c>
      <c r="Q139" s="118"/>
      <c r="R139" s="118"/>
      <c r="S139" s="24"/>
      <c r="T139" s="24"/>
    </row>
    <row r="140">
      <c r="B140" s="116" t="s">
        <v>100</v>
      </c>
      <c r="C140" s="27">
        <v>1.427</v>
      </c>
      <c r="D140" s="27">
        <v>1.721</v>
      </c>
      <c r="E140" s="27">
        <v>1.452</v>
      </c>
      <c r="F140" s="27">
        <v>1.799</v>
      </c>
      <c r="G140" s="27">
        <v>1.469</v>
      </c>
      <c r="H140" s="27">
        <v>1.821</v>
      </c>
      <c r="I140" s="27">
        <v>1.594</v>
      </c>
      <c r="J140" s="27">
        <v>2.323</v>
      </c>
      <c r="K140" s="27">
        <v>2.72</v>
      </c>
      <c r="L140" s="27">
        <v>18.263</v>
      </c>
      <c r="M140" s="27">
        <v>103.638</v>
      </c>
      <c r="N140" s="27">
        <v>178.253</v>
      </c>
      <c r="Q140" s="118"/>
      <c r="R140" s="118"/>
      <c r="S140" s="24"/>
      <c r="T140" s="24"/>
    </row>
    <row r="141">
      <c r="B141" s="116" t="s">
        <v>101</v>
      </c>
      <c r="C141" s="27">
        <v>1.329</v>
      </c>
      <c r="D141" s="27">
        <v>1.603</v>
      </c>
      <c r="E141" s="27">
        <v>1.349</v>
      </c>
      <c r="F141" s="27">
        <v>1.655</v>
      </c>
      <c r="G141" s="27">
        <v>1.366</v>
      </c>
      <c r="H141" s="27">
        <v>1.688</v>
      </c>
      <c r="I141" s="27">
        <v>1.478</v>
      </c>
      <c r="J141" s="27">
        <v>2.32</v>
      </c>
      <c r="K141" s="27">
        <v>2.502</v>
      </c>
      <c r="L141" s="27">
        <v>18.844</v>
      </c>
      <c r="M141" s="27">
        <v>103.502</v>
      </c>
      <c r="N141" s="27">
        <v>177.472</v>
      </c>
      <c r="Q141" s="118"/>
      <c r="R141" s="118"/>
      <c r="S141" s="24"/>
      <c r="T141" s="24"/>
    </row>
    <row r="142">
      <c r="B142" s="116" t="s">
        <v>102</v>
      </c>
      <c r="C142" s="27">
        <v>1.346</v>
      </c>
      <c r="D142" s="27">
        <v>1.611</v>
      </c>
      <c r="E142" s="27">
        <v>1.368</v>
      </c>
      <c r="F142" s="27">
        <v>1.671</v>
      </c>
      <c r="G142" s="27">
        <v>1.383</v>
      </c>
      <c r="H142" s="27">
        <v>1.695</v>
      </c>
      <c r="I142" s="27">
        <v>1.496</v>
      </c>
      <c r="J142" s="27">
        <v>2.279</v>
      </c>
      <c r="K142" s="27">
        <v>2.543</v>
      </c>
      <c r="L142" s="27">
        <v>18.268</v>
      </c>
      <c r="M142" s="27">
        <v>103.533</v>
      </c>
      <c r="N142" s="27">
        <v>175.667</v>
      </c>
      <c r="Q142" s="118"/>
      <c r="R142" s="118"/>
      <c r="S142" s="24"/>
      <c r="T142" s="24"/>
    </row>
    <row r="143">
      <c r="B143" s="116" t="s">
        <v>103</v>
      </c>
      <c r="C143" s="27">
        <v>1.337</v>
      </c>
      <c r="D143" s="27">
        <v>1.6</v>
      </c>
      <c r="E143" s="27">
        <v>1.356</v>
      </c>
      <c r="F143" s="27">
        <v>1.663</v>
      </c>
      <c r="G143" s="27">
        <v>1.375</v>
      </c>
      <c r="H143" s="27">
        <v>1.697</v>
      </c>
      <c r="I143" s="27">
        <v>1.488</v>
      </c>
      <c r="J143" s="27">
        <v>2.22</v>
      </c>
      <c r="K143" s="27">
        <v>2.529</v>
      </c>
      <c r="L143" s="27">
        <v>19.067</v>
      </c>
      <c r="M143" s="27">
        <v>103.584</v>
      </c>
      <c r="N143" s="27">
        <v>178.593</v>
      </c>
      <c r="Q143" s="118"/>
      <c r="R143" s="118"/>
      <c r="S143" s="24"/>
      <c r="T143" s="24"/>
    </row>
    <row r="144">
      <c r="B144" s="116" t="s">
        <v>104</v>
      </c>
      <c r="C144" s="27">
        <v>1.336</v>
      </c>
      <c r="D144" s="27">
        <v>1.61</v>
      </c>
      <c r="E144" s="27">
        <v>1.353</v>
      </c>
      <c r="F144" s="27">
        <v>1.668</v>
      </c>
      <c r="G144" s="27">
        <v>1.371</v>
      </c>
      <c r="H144" s="27">
        <v>1.686</v>
      </c>
      <c r="I144" s="27">
        <v>1.484</v>
      </c>
      <c r="J144" s="27">
        <v>2.258</v>
      </c>
      <c r="K144" s="27">
        <v>2.541</v>
      </c>
      <c r="L144" s="27">
        <v>19.081</v>
      </c>
      <c r="M144" s="27">
        <v>103.563</v>
      </c>
      <c r="N144" s="27">
        <v>177.711</v>
      </c>
      <c r="Q144" s="118"/>
      <c r="R144" s="118"/>
      <c r="S144" s="24"/>
      <c r="T144" s="24"/>
    </row>
    <row r="145">
      <c r="B145" s="116" t="s">
        <v>105</v>
      </c>
      <c r="C145" s="27">
        <v>1.333</v>
      </c>
      <c r="D145" s="27">
        <v>1.6</v>
      </c>
      <c r="E145" s="27">
        <v>1.349</v>
      </c>
      <c r="F145" s="27">
        <v>1.668</v>
      </c>
      <c r="G145" s="27">
        <v>1.367</v>
      </c>
      <c r="H145" s="27">
        <v>1.67</v>
      </c>
      <c r="I145" s="27">
        <v>1.481</v>
      </c>
      <c r="J145" s="27">
        <v>2.164</v>
      </c>
      <c r="K145" s="27">
        <v>2.68</v>
      </c>
      <c r="L145" s="27">
        <v>18.695</v>
      </c>
      <c r="M145" s="27">
        <v>103.561</v>
      </c>
      <c r="N145" s="27">
        <v>179.803</v>
      </c>
      <c r="Q145" s="118"/>
      <c r="R145" s="118"/>
      <c r="S145" s="24"/>
      <c r="T145" s="24"/>
    </row>
    <row r="146">
      <c r="B146" s="116" t="s">
        <v>106</v>
      </c>
      <c r="C146" s="27">
        <v>1.346</v>
      </c>
      <c r="D146" s="27">
        <v>1.624</v>
      </c>
      <c r="E146" s="27">
        <v>1.371</v>
      </c>
      <c r="F146" s="27">
        <v>1.686</v>
      </c>
      <c r="G146" s="27">
        <v>1.375</v>
      </c>
      <c r="H146" s="27">
        <v>1.723</v>
      </c>
      <c r="I146" s="27">
        <v>1.501</v>
      </c>
      <c r="J146" s="27">
        <v>2.232</v>
      </c>
      <c r="K146" s="27">
        <v>2.582</v>
      </c>
      <c r="L146" s="27">
        <v>19.161</v>
      </c>
      <c r="M146" s="27">
        <v>103.555</v>
      </c>
      <c r="N146" s="27">
        <v>177.781</v>
      </c>
      <c r="Q146" s="118"/>
      <c r="R146" s="118"/>
      <c r="S146" s="24"/>
      <c r="T146" s="24"/>
    </row>
    <row r="147">
      <c r="B147" s="116" t="s">
        <v>107</v>
      </c>
      <c r="C147" s="27">
        <v>1.42</v>
      </c>
      <c r="D147" s="27">
        <v>1.704</v>
      </c>
      <c r="E147" s="27">
        <v>1.444</v>
      </c>
      <c r="F147" s="27">
        <v>1.766</v>
      </c>
      <c r="G147" s="27">
        <v>1.456</v>
      </c>
      <c r="H147" s="27">
        <v>1.794</v>
      </c>
      <c r="I147" s="27">
        <v>1.574</v>
      </c>
      <c r="J147" s="27">
        <v>2.331</v>
      </c>
      <c r="K147" s="27">
        <v>2.655</v>
      </c>
      <c r="L147" s="27">
        <v>18.965</v>
      </c>
      <c r="M147" s="27">
        <v>103.609</v>
      </c>
      <c r="N147" s="27">
        <v>177.89</v>
      </c>
      <c r="Q147" s="118"/>
      <c r="R147" s="118"/>
      <c r="S147" s="24"/>
      <c r="T147" s="24"/>
    </row>
    <row r="148">
      <c r="M148" s="191"/>
    </row>
    <row r="149">
      <c r="M149" s="191"/>
    </row>
    <row r="150">
      <c r="B150" s="24" t="s">
        <v>81</v>
      </c>
      <c r="C150" s="201" t="s">
        <v>91</v>
      </c>
      <c r="D150" s="8"/>
      <c r="E150" s="201" t="s">
        <v>82</v>
      </c>
      <c r="F150" s="8"/>
      <c r="G150" s="110" t="s">
        <v>83</v>
      </c>
      <c r="H150" s="8"/>
      <c r="I150" s="110" t="s">
        <v>84</v>
      </c>
      <c r="J150" s="8"/>
      <c r="K150" s="201" t="s">
        <v>85</v>
      </c>
      <c r="L150" s="8"/>
      <c r="M150" s="110" t="s">
        <v>86</v>
      </c>
      <c r="N150" s="8"/>
      <c r="O150" s="110" t="s">
        <v>87</v>
      </c>
      <c r="P150" s="8"/>
      <c r="Q150" s="201" t="s">
        <v>88</v>
      </c>
      <c r="R150" s="9"/>
      <c r="S150" s="201" t="s">
        <v>89</v>
      </c>
      <c r="T150" s="9"/>
      <c r="U150" s="111" t="s">
        <v>90</v>
      </c>
    </row>
    <row r="151">
      <c r="B151" s="24" t="s">
        <v>92</v>
      </c>
      <c r="C151" s="110">
        <v>10000.0</v>
      </c>
      <c r="D151" s="8"/>
      <c r="E151" s="110">
        <v>10000.0</v>
      </c>
      <c r="F151" s="8"/>
      <c r="G151" s="110">
        <v>1000.0</v>
      </c>
      <c r="H151" s="8"/>
      <c r="I151" s="110">
        <v>1000.0</v>
      </c>
      <c r="J151" s="8"/>
      <c r="K151" s="110">
        <v>1000.0</v>
      </c>
      <c r="L151" s="8"/>
      <c r="M151" s="110">
        <v>1000.0</v>
      </c>
      <c r="N151" s="8"/>
      <c r="O151" s="110">
        <v>100.0</v>
      </c>
      <c r="P151" s="8"/>
      <c r="Q151" s="110">
        <v>10.0</v>
      </c>
      <c r="R151" s="9"/>
      <c r="S151" s="110">
        <v>1.0</v>
      </c>
      <c r="T151" s="9"/>
      <c r="U151" s="111" t="s">
        <v>93</v>
      </c>
    </row>
    <row r="152">
      <c r="B152" s="112"/>
      <c r="C152" s="43" t="s">
        <v>16</v>
      </c>
      <c r="D152" s="43" t="s">
        <v>0</v>
      </c>
      <c r="E152" s="43" t="s">
        <v>16</v>
      </c>
      <c r="F152" s="43" t="s">
        <v>0</v>
      </c>
      <c r="G152" s="43" t="s">
        <v>16</v>
      </c>
      <c r="H152" s="202" t="s">
        <v>0</v>
      </c>
      <c r="I152" s="43" t="s">
        <v>16</v>
      </c>
      <c r="J152" s="43" t="s">
        <v>0</v>
      </c>
      <c r="K152" s="43" t="s">
        <v>16</v>
      </c>
      <c r="L152" s="43" t="s">
        <v>0</v>
      </c>
      <c r="M152" s="43" t="s">
        <v>16</v>
      </c>
      <c r="N152" s="43" t="s">
        <v>0</v>
      </c>
      <c r="O152" s="43" t="s">
        <v>16</v>
      </c>
      <c r="P152" s="43" t="s">
        <v>0</v>
      </c>
      <c r="Q152" s="43" t="s">
        <v>16</v>
      </c>
      <c r="R152" s="43" t="s">
        <v>0</v>
      </c>
      <c r="S152" s="43" t="s">
        <v>16</v>
      </c>
      <c r="T152" s="43" t="s">
        <v>0</v>
      </c>
    </row>
    <row r="153">
      <c r="B153" s="116" t="s">
        <v>43</v>
      </c>
      <c r="C153" s="43">
        <v>2.195</v>
      </c>
      <c r="D153" s="43">
        <v>2.517</v>
      </c>
      <c r="E153" s="43">
        <v>4.591</v>
      </c>
      <c r="F153" s="118">
        <v>2.555</v>
      </c>
      <c r="G153" s="118">
        <v>2.759</v>
      </c>
      <c r="H153" s="203">
        <v>180.223</v>
      </c>
      <c r="I153" s="43">
        <v>4.623</v>
      </c>
      <c r="J153" s="43">
        <v>175.085</v>
      </c>
      <c r="K153" s="43">
        <v>23.326</v>
      </c>
      <c r="L153" s="43">
        <v>183.526</v>
      </c>
      <c r="M153" s="43">
        <v>228.256</v>
      </c>
      <c r="N153" s="43">
        <v>172.416</v>
      </c>
      <c r="O153" s="43">
        <v>220.368</v>
      </c>
      <c r="P153" s="43">
        <v>172.477</v>
      </c>
      <c r="Q153" s="118">
        <v>211.332</v>
      </c>
      <c r="R153" s="118">
        <v>193.424</v>
      </c>
      <c r="S153" s="24">
        <v>220.558</v>
      </c>
      <c r="T153" s="24">
        <v>193.208</v>
      </c>
    </row>
    <row r="154">
      <c r="B154" s="116" t="s">
        <v>44</v>
      </c>
      <c r="C154" s="43">
        <v>2.171</v>
      </c>
      <c r="D154" s="43">
        <v>2.478</v>
      </c>
      <c r="E154" s="43">
        <v>4.401</v>
      </c>
      <c r="F154" s="118">
        <v>2.533</v>
      </c>
      <c r="G154" s="118">
        <v>2.769</v>
      </c>
      <c r="H154" s="203">
        <v>182.197</v>
      </c>
      <c r="I154" s="118">
        <v>4.511</v>
      </c>
      <c r="J154" s="118">
        <v>180.711</v>
      </c>
      <c r="K154" s="118">
        <v>22.973</v>
      </c>
      <c r="L154" s="43">
        <v>184.474</v>
      </c>
      <c r="M154" s="43">
        <v>221.758</v>
      </c>
      <c r="N154" s="43">
        <v>172.471</v>
      </c>
      <c r="O154" s="43">
        <v>240.568</v>
      </c>
      <c r="P154" s="43">
        <v>172.938</v>
      </c>
      <c r="Q154" s="118">
        <v>211.161</v>
      </c>
      <c r="R154" s="118">
        <v>193.26</v>
      </c>
      <c r="S154" s="24">
        <v>238.74</v>
      </c>
      <c r="T154" s="24">
        <v>192.689</v>
      </c>
    </row>
    <row r="155">
      <c r="B155" s="116" t="s">
        <v>45</v>
      </c>
      <c r="C155" s="43">
        <v>2.146</v>
      </c>
      <c r="D155" s="43">
        <v>2.543</v>
      </c>
      <c r="E155" s="43">
        <v>4.644</v>
      </c>
      <c r="F155" s="118">
        <v>2.672</v>
      </c>
      <c r="G155" s="118">
        <v>2.708</v>
      </c>
      <c r="H155" s="203">
        <v>181.397</v>
      </c>
      <c r="I155" s="118">
        <v>4.494</v>
      </c>
      <c r="J155" s="118">
        <v>180.829</v>
      </c>
      <c r="K155" s="118">
        <v>23.752</v>
      </c>
      <c r="L155" s="43">
        <v>183.994</v>
      </c>
      <c r="M155" s="43">
        <v>223.367</v>
      </c>
      <c r="N155" s="43">
        <v>172.762</v>
      </c>
      <c r="O155" s="43">
        <v>217.071</v>
      </c>
      <c r="P155" s="43">
        <v>172.781</v>
      </c>
      <c r="Q155" s="118">
        <v>213.76</v>
      </c>
      <c r="R155" s="118">
        <v>193.339</v>
      </c>
      <c r="S155" s="24">
        <v>218.037</v>
      </c>
      <c r="T155" s="24">
        <v>194.051</v>
      </c>
    </row>
    <row r="156">
      <c r="B156" s="116" t="s">
        <v>46</v>
      </c>
      <c r="C156" s="43">
        <v>2.121</v>
      </c>
      <c r="D156" s="43">
        <v>2.782</v>
      </c>
      <c r="E156" s="43">
        <v>4.601</v>
      </c>
      <c r="F156" s="118">
        <v>2.713</v>
      </c>
      <c r="G156" s="118">
        <v>2.773</v>
      </c>
      <c r="H156" s="203">
        <v>172.49</v>
      </c>
      <c r="I156" s="118">
        <v>4.573</v>
      </c>
      <c r="J156" s="118">
        <v>180.328</v>
      </c>
      <c r="K156" s="118">
        <v>24.521</v>
      </c>
      <c r="L156" s="43">
        <v>182.758</v>
      </c>
      <c r="M156" s="43">
        <v>229.09</v>
      </c>
      <c r="N156" s="43">
        <v>172.516</v>
      </c>
      <c r="O156" s="43">
        <v>218.367</v>
      </c>
      <c r="P156" s="43">
        <v>171.092</v>
      </c>
      <c r="Q156" s="118">
        <v>215.537</v>
      </c>
      <c r="R156" s="118">
        <v>193.592</v>
      </c>
      <c r="S156" s="24">
        <v>220.398</v>
      </c>
      <c r="T156" s="24">
        <v>193.81</v>
      </c>
    </row>
    <row r="157">
      <c r="M157" s="191"/>
    </row>
    <row r="158">
      <c r="M158" s="191"/>
    </row>
    <row r="159">
      <c r="M159" s="191"/>
    </row>
    <row r="160">
      <c r="B160" s="27" t="s">
        <v>606</v>
      </c>
    </row>
    <row r="161">
      <c r="B161" s="24" t="s">
        <v>81</v>
      </c>
      <c r="C161" s="110" t="s">
        <v>91</v>
      </c>
      <c r="D161" s="8"/>
      <c r="E161" s="110" t="s">
        <v>82</v>
      </c>
      <c r="F161" s="8"/>
      <c r="G161" s="110" t="s">
        <v>83</v>
      </c>
      <c r="H161" s="8"/>
      <c r="I161" s="110" t="s">
        <v>84</v>
      </c>
      <c r="J161" s="8"/>
      <c r="K161" s="110" t="s">
        <v>85</v>
      </c>
      <c r="L161" s="8"/>
      <c r="M161" s="110" t="s">
        <v>86</v>
      </c>
      <c r="N161" s="8"/>
      <c r="O161" s="110" t="s">
        <v>87</v>
      </c>
      <c r="P161" s="8"/>
      <c r="Q161" s="110" t="s">
        <v>88</v>
      </c>
      <c r="R161" s="9"/>
      <c r="S161" s="110" t="s">
        <v>89</v>
      </c>
      <c r="T161" s="9"/>
      <c r="U161" s="111" t="s">
        <v>90</v>
      </c>
    </row>
    <row r="162">
      <c r="B162" s="24" t="s">
        <v>92</v>
      </c>
      <c r="C162" s="110">
        <v>10000.0</v>
      </c>
      <c r="D162" s="8"/>
      <c r="E162" s="110">
        <v>10000.0</v>
      </c>
      <c r="F162" s="8"/>
      <c r="G162" s="110">
        <v>1000.0</v>
      </c>
      <c r="H162" s="8"/>
      <c r="I162" s="110">
        <v>1000.0</v>
      </c>
      <c r="J162" s="8"/>
      <c r="K162" s="110">
        <v>1000.0</v>
      </c>
      <c r="L162" s="8"/>
      <c r="M162" s="110">
        <v>1000.0</v>
      </c>
      <c r="N162" s="8"/>
      <c r="O162" s="110">
        <v>100.0</v>
      </c>
      <c r="P162" s="8"/>
      <c r="Q162" s="110">
        <v>10.0</v>
      </c>
      <c r="R162" s="9"/>
      <c r="S162" s="110">
        <v>1.0</v>
      </c>
      <c r="T162" s="9"/>
      <c r="U162" s="111" t="s">
        <v>93</v>
      </c>
    </row>
    <row r="163">
      <c r="B163" s="112"/>
      <c r="C163" s="43" t="s">
        <v>16</v>
      </c>
      <c r="D163" s="43" t="s">
        <v>0</v>
      </c>
      <c r="E163" s="43" t="s">
        <v>16</v>
      </c>
      <c r="F163" s="43" t="s">
        <v>0</v>
      </c>
      <c r="G163" s="43" t="s">
        <v>16</v>
      </c>
      <c r="H163" s="43" t="s">
        <v>0</v>
      </c>
      <c r="I163" s="43" t="s">
        <v>16</v>
      </c>
      <c r="J163" s="43" t="s">
        <v>0</v>
      </c>
      <c r="K163" s="43" t="s">
        <v>16</v>
      </c>
      <c r="L163" s="43" t="s">
        <v>0</v>
      </c>
      <c r="M163" s="43" t="s">
        <v>16</v>
      </c>
      <c r="N163" s="43" t="s">
        <v>0</v>
      </c>
      <c r="O163" s="43" t="s">
        <v>16</v>
      </c>
      <c r="P163" s="43" t="s">
        <v>0</v>
      </c>
      <c r="Q163" s="43" t="s">
        <v>16</v>
      </c>
      <c r="R163" s="43" t="s">
        <v>0</v>
      </c>
      <c r="S163" s="43" t="s">
        <v>16</v>
      </c>
      <c r="T163" s="43" t="s">
        <v>0</v>
      </c>
      <c r="U163" s="24" t="s">
        <v>95</v>
      </c>
    </row>
    <row r="164">
      <c r="B164" s="116" t="s">
        <v>43</v>
      </c>
      <c r="C164" s="24">
        <v>18.401</v>
      </c>
      <c r="D164" s="24">
        <v>21.777</v>
      </c>
      <c r="E164" s="24">
        <v>18.556</v>
      </c>
      <c r="F164" s="24">
        <v>22.407</v>
      </c>
      <c r="G164" s="24">
        <v>1.809</v>
      </c>
      <c r="H164" s="24">
        <v>2.171</v>
      </c>
      <c r="I164" s="24">
        <v>2.108</v>
      </c>
      <c r="J164" s="24">
        <v>2.499</v>
      </c>
      <c r="K164" s="24">
        <v>3.455</v>
      </c>
      <c r="L164" s="24">
        <v>15.195</v>
      </c>
      <c r="M164" s="24">
        <v>107.827</v>
      </c>
      <c r="N164" s="24">
        <v>174.617</v>
      </c>
      <c r="O164" s="24">
        <v>108.182</v>
      </c>
      <c r="P164" s="24">
        <v>176.184</v>
      </c>
      <c r="Q164" s="118">
        <v>110.765</v>
      </c>
      <c r="R164" s="118">
        <v>186.485</v>
      </c>
      <c r="S164" s="24">
        <v>115.127</v>
      </c>
      <c r="T164" s="24">
        <v>195.277</v>
      </c>
      <c r="U164" s="24">
        <v>7.964</v>
      </c>
    </row>
    <row r="165">
      <c r="B165" s="116" t="s">
        <v>44</v>
      </c>
      <c r="C165" s="24">
        <v>17.891</v>
      </c>
      <c r="D165" s="24">
        <v>21.048</v>
      </c>
      <c r="E165" s="24">
        <v>18.158</v>
      </c>
      <c r="F165" s="24">
        <v>21.511</v>
      </c>
      <c r="G165" s="24">
        <v>1.862</v>
      </c>
      <c r="H165" s="24">
        <v>2.174</v>
      </c>
      <c r="I165" s="24">
        <v>2.005</v>
      </c>
      <c r="J165" s="24">
        <v>2.459</v>
      </c>
      <c r="K165" s="24">
        <v>3.387</v>
      </c>
      <c r="L165" s="24">
        <v>15.367</v>
      </c>
      <c r="M165" s="24">
        <v>107.465</v>
      </c>
      <c r="N165" s="24">
        <v>175.881</v>
      </c>
      <c r="O165" s="24">
        <v>108.177</v>
      </c>
      <c r="P165" s="24">
        <v>176.056</v>
      </c>
      <c r="Q165" s="118">
        <v>110.696</v>
      </c>
      <c r="R165" s="118">
        <v>180.524</v>
      </c>
      <c r="S165" s="24">
        <v>114.983</v>
      </c>
      <c r="T165" s="24">
        <v>195.768</v>
      </c>
      <c r="U165" s="24">
        <v>8.073</v>
      </c>
    </row>
    <row r="166">
      <c r="B166" s="116" t="s">
        <v>45</v>
      </c>
      <c r="C166" s="24">
        <v>18.347</v>
      </c>
      <c r="D166" s="24">
        <v>21.391</v>
      </c>
      <c r="E166" s="24">
        <v>18.682</v>
      </c>
      <c r="F166" s="24">
        <v>22.126</v>
      </c>
      <c r="G166" s="24">
        <v>1.866</v>
      </c>
      <c r="H166" s="24">
        <v>2.203</v>
      </c>
      <c r="I166" s="24">
        <v>2.017</v>
      </c>
      <c r="J166" s="24">
        <v>2.498</v>
      </c>
      <c r="K166" s="24">
        <v>3.461</v>
      </c>
      <c r="L166" s="24">
        <v>15.967</v>
      </c>
      <c r="M166" s="24">
        <v>107.255</v>
      </c>
      <c r="N166" s="24">
        <v>176.155</v>
      </c>
      <c r="O166" s="24">
        <v>108.313</v>
      </c>
      <c r="P166" s="24">
        <v>172.916</v>
      </c>
      <c r="Q166" s="118">
        <v>110.996</v>
      </c>
      <c r="R166" s="118">
        <v>183.144</v>
      </c>
      <c r="S166" s="24">
        <v>115.012</v>
      </c>
      <c r="T166" s="24">
        <v>190.135</v>
      </c>
      <c r="U166" s="24">
        <v>8.084</v>
      </c>
    </row>
    <row r="167">
      <c r="B167" s="116" t="s">
        <v>46</v>
      </c>
      <c r="C167" s="24">
        <v>17.935</v>
      </c>
      <c r="D167" s="24">
        <v>20.88</v>
      </c>
      <c r="E167" s="24">
        <v>18.111</v>
      </c>
      <c r="F167" s="24">
        <v>21.624</v>
      </c>
      <c r="G167" s="24">
        <v>1.836</v>
      </c>
      <c r="H167" s="24">
        <v>2.162</v>
      </c>
      <c r="I167" s="24">
        <v>1.986</v>
      </c>
      <c r="J167" s="24">
        <v>2.402</v>
      </c>
      <c r="K167" s="24">
        <v>3.589</v>
      </c>
      <c r="L167" s="24">
        <v>14.754</v>
      </c>
      <c r="M167" s="24">
        <v>107.209</v>
      </c>
      <c r="N167" s="24">
        <v>177.002</v>
      </c>
      <c r="O167" s="24">
        <v>108.256</v>
      </c>
      <c r="P167" s="24">
        <v>175.335</v>
      </c>
      <c r="Q167" s="118">
        <v>110.904</v>
      </c>
      <c r="R167" s="118">
        <v>183.991</v>
      </c>
      <c r="S167" s="24">
        <v>114.97</v>
      </c>
      <c r="T167" s="24">
        <v>195.278</v>
      </c>
      <c r="U167" s="24">
        <v>7.937</v>
      </c>
    </row>
    <row r="168">
      <c r="B168" s="116" t="s">
        <v>96</v>
      </c>
      <c r="C168" s="24">
        <v>18.311</v>
      </c>
      <c r="D168" s="24">
        <v>21.118</v>
      </c>
      <c r="E168" s="24">
        <v>18.391</v>
      </c>
      <c r="F168" s="24">
        <v>21.976</v>
      </c>
      <c r="G168" s="24">
        <v>1.867</v>
      </c>
      <c r="H168" s="24">
        <v>2.208</v>
      </c>
      <c r="I168" s="24">
        <v>2.01</v>
      </c>
      <c r="J168" s="24">
        <v>2.491</v>
      </c>
      <c r="K168" s="24">
        <v>3.455</v>
      </c>
      <c r="L168" s="24">
        <v>14.856</v>
      </c>
      <c r="M168" s="24">
        <v>107.159</v>
      </c>
      <c r="N168" s="24">
        <v>175.676</v>
      </c>
      <c r="O168" s="24">
        <v>108.164</v>
      </c>
      <c r="P168" s="24">
        <v>175.774</v>
      </c>
      <c r="Q168" s="118">
        <v>110.789</v>
      </c>
      <c r="R168" s="118">
        <v>185.626</v>
      </c>
      <c r="S168" s="24">
        <v>115.151</v>
      </c>
      <c r="T168" s="24">
        <v>190.014</v>
      </c>
      <c r="U168" s="24">
        <v>7.902</v>
      </c>
    </row>
    <row r="169">
      <c r="B169" s="116" t="s">
        <v>97</v>
      </c>
      <c r="C169" s="24">
        <v>18.137</v>
      </c>
      <c r="D169" s="24">
        <v>21.257</v>
      </c>
      <c r="E169" s="24">
        <v>18.436</v>
      </c>
      <c r="F169" s="24">
        <v>23.446</v>
      </c>
      <c r="G169" s="24">
        <v>1.829</v>
      </c>
      <c r="H169" s="24">
        <v>2.321</v>
      </c>
      <c r="I169" s="24">
        <v>1.98</v>
      </c>
      <c r="J169" s="24">
        <v>2.535</v>
      </c>
      <c r="K169" s="24">
        <v>3.421</v>
      </c>
      <c r="L169" s="24">
        <v>16.222</v>
      </c>
      <c r="M169" s="24">
        <v>107.177</v>
      </c>
      <c r="N169" s="24">
        <v>177.461</v>
      </c>
      <c r="O169" s="24">
        <v>108.172</v>
      </c>
      <c r="P169" s="24">
        <v>175.544</v>
      </c>
      <c r="Q169" s="118">
        <v>110.874</v>
      </c>
      <c r="R169" s="118">
        <v>186.07</v>
      </c>
      <c r="S169" s="24">
        <v>114.904</v>
      </c>
      <c r="T169" s="24">
        <v>195.632</v>
      </c>
      <c r="U169" s="24">
        <v>8.093</v>
      </c>
    </row>
    <row r="170">
      <c r="B170" s="116" t="s">
        <v>98</v>
      </c>
      <c r="C170" s="24">
        <v>18.418</v>
      </c>
      <c r="D170" s="24">
        <v>21.603</v>
      </c>
      <c r="E170" s="24">
        <v>18.685</v>
      </c>
      <c r="F170" s="24">
        <v>22.27</v>
      </c>
      <c r="G170" s="24">
        <v>1.865</v>
      </c>
      <c r="H170" s="24">
        <v>2.229</v>
      </c>
      <c r="I170" s="24">
        <v>2.022</v>
      </c>
      <c r="J170" s="24">
        <v>2.47</v>
      </c>
      <c r="K170" s="24">
        <v>3.567</v>
      </c>
      <c r="L170" s="24">
        <v>14.733</v>
      </c>
      <c r="M170" s="24">
        <v>107.348</v>
      </c>
      <c r="N170" s="24">
        <v>177.735</v>
      </c>
      <c r="O170" s="24">
        <v>108.335</v>
      </c>
      <c r="P170" s="24">
        <v>177.507</v>
      </c>
      <c r="Q170" s="118">
        <v>110.998</v>
      </c>
      <c r="R170" s="118">
        <v>184.628</v>
      </c>
      <c r="S170" s="24">
        <v>114.976</v>
      </c>
      <c r="T170" s="24">
        <v>195.914</v>
      </c>
      <c r="U170" s="24">
        <v>8.118</v>
      </c>
    </row>
    <row r="171">
      <c r="B171" s="116" t="s">
        <v>99</v>
      </c>
      <c r="C171" s="24">
        <v>18.863</v>
      </c>
      <c r="D171" s="24">
        <v>22.227</v>
      </c>
      <c r="E171" s="24">
        <v>18.815</v>
      </c>
      <c r="F171" s="24">
        <v>22.733</v>
      </c>
      <c r="G171" s="24">
        <v>1.938</v>
      </c>
      <c r="H171" s="24">
        <v>2.306</v>
      </c>
      <c r="I171" s="24">
        <v>2.089</v>
      </c>
      <c r="J171" s="24">
        <v>2.544</v>
      </c>
      <c r="K171" s="24">
        <v>3.622</v>
      </c>
      <c r="L171" s="24">
        <v>15.091</v>
      </c>
      <c r="M171" s="24">
        <v>106.79</v>
      </c>
      <c r="N171" s="24">
        <v>175.658</v>
      </c>
      <c r="O171" s="24">
        <v>107.574</v>
      </c>
      <c r="P171" s="24">
        <v>176.583</v>
      </c>
      <c r="Q171" s="118">
        <v>110.403</v>
      </c>
      <c r="R171" s="118">
        <v>188.798</v>
      </c>
      <c r="S171" s="24">
        <v>115.488</v>
      </c>
      <c r="T171" s="24">
        <v>194.315</v>
      </c>
      <c r="U171" s="24">
        <v>8.536</v>
      </c>
    </row>
    <row r="172">
      <c r="B172" s="116" t="s">
        <v>100</v>
      </c>
      <c r="C172" s="24">
        <v>17.994</v>
      </c>
      <c r="D172" s="24">
        <v>21.166</v>
      </c>
      <c r="E172" s="24">
        <v>18.227</v>
      </c>
      <c r="F172" s="24">
        <v>21.681</v>
      </c>
      <c r="G172" s="24">
        <v>1.818</v>
      </c>
      <c r="H172" s="24">
        <v>2.159</v>
      </c>
      <c r="I172" s="24">
        <v>1.992</v>
      </c>
      <c r="J172" s="24">
        <v>2.452</v>
      </c>
      <c r="K172" s="24">
        <v>3.387</v>
      </c>
      <c r="L172" s="24">
        <v>14.898</v>
      </c>
      <c r="M172" s="24">
        <v>107.112</v>
      </c>
      <c r="N172" s="24">
        <v>174.718</v>
      </c>
      <c r="O172" s="24">
        <v>108.168</v>
      </c>
      <c r="P172" s="24">
        <v>174.561</v>
      </c>
      <c r="Q172" s="118">
        <v>110.776</v>
      </c>
      <c r="R172" s="118">
        <v>185.043</v>
      </c>
      <c r="S172" s="24">
        <v>114.997</v>
      </c>
      <c r="T172" s="24">
        <v>189.915</v>
      </c>
      <c r="U172" s="24">
        <v>7.951</v>
      </c>
    </row>
    <row r="173">
      <c r="B173" s="116" t="s">
        <v>101</v>
      </c>
      <c r="C173" s="24">
        <v>18.338</v>
      </c>
      <c r="D173" s="24">
        <v>21.39</v>
      </c>
      <c r="E173" s="24">
        <v>18.475</v>
      </c>
      <c r="F173" s="24">
        <v>21.841</v>
      </c>
      <c r="G173" s="24">
        <v>1.783</v>
      </c>
      <c r="H173" s="24">
        <v>2.14</v>
      </c>
      <c r="I173" s="24">
        <v>2.0</v>
      </c>
      <c r="J173" s="24">
        <v>2.444</v>
      </c>
      <c r="K173" s="24">
        <v>3.514</v>
      </c>
      <c r="L173" s="24">
        <v>15.683</v>
      </c>
      <c r="M173" s="24">
        <v>108.057</v>
      </c>
      <c r="N173" s="24">
        <v>175.537</v>
      </c>
      <c r="O173" s="24">
        <v>108.137</v>
      </c>
      <c r="P173" s="24">
        <v>174.277</v>
      </c>
      <c r="Q173" s="118">
        <v>110.844</v>
      </c>
      <c r="R173" s="118">
        <v>186.046</v>
      </c>
      <c r="S173" s="24">
        <v>115.029</v>
      </c>
      <c r="T173" s="24">
        <v>197.488</v>
      </c>
      <c r="U173" s="24">
        <v>7.996</v>
      </c>
    </row>
    <row r="174">
      <c r="B174" s="116" t="s">
        <v>102</v>
      </c>
      <c r="C174" s="24">
        <v>17.952</v>
      </c>
      <c r="D174" s="24">
        <v>20.961</v>
      </c>
      <c r="E174" s="24">
        <v>18.186</v>
      </c>
      <c r="F174" s="24">
        <v>21.556</v>
      </c>
      <c r="G174" s="24">
        <v>1.816</v>
      </c>
      <c r="H174" s="24">
        <v>2.119</v>
      </c>
      <c r="I174" s="24">
        <v>1.967</v>
      </c>
      <c r="J174" s="24">
        <v>2.453</v>
      </c>
      <c r="K174" s="24">
        <v>3.413</v>
      </c>
      <c r="L174" s="24">
        <v>15.157</v>
      </c>
      <c r="M174" s="24">
        <v>107.114</v>
      </c>
      <c r="N174" s="24">
        <v>175.708</v>
      </c>
      <c r="O174" s="24">
        <v>108.145</v>
      </c>
      <c r="P174" s="24">
        <v>177.711</v>
      </c>
      <c r="Q174" s="118">
        <v>110.695</v>
      </c>
      <c r="R174" s="118">
        <v>185.925</v>
      </c>
      <c r="S174" s="24">
        <v>114.899</v>
      </c>
      <c r="T174" s="24">
        <v>196.635</v>
      </c>
      <c r="U174" s="24">
        <v>7.913</v>
      </c>
    </row>
    <row r="175">
      <c r="B175" s="116" t="s">
        <v>103</v>
      </c>
      <c r="C175" s="24">
        <v>18.156</v>
      </c>
      <c r="D175" s="24">
        <v>21.258</v>
      </c>
      <c r="E175" s="24">
        <v>18.219</v>
      </c>
      <c r="F175" s="24">
        <v>21.862</v>
      </c>
      <c r="G175" s="24">
        <v>1.831</v>
      </c>
      <c r="H175" s="24">
        <v>2.163</v>
      </c>
      <c r="I175" s="24">
        <v>1.987</v>
      </c>
      <c r="J175" s="24">
        <v>2.452</v>
      </c>
      <c r="K175" s="24">
        <v>3.505</v>
      </c>
      <c r="L175" s="24">
        <v>14.925</v>
      </c>
      <c r="M175" s="24">
        <v>106.983</v>
      </c>
      <c r="N175" s="24">
        <v>174.473</v>
      </c>
      <c r="O175" s="24">
        <v>108.015</v>
      </c>
      <c r="P175" s="24">
        <v>175.979</v>
      </c>
      <c r="Q175" s="118">
        <v>110.755</v>
      </c>
      <c r="R175" s="118">
        <v>185.971</v>
      </c>
      <c r="S175" s="24">
        <v>114.909</v>
      </c>
      <c r="T175" s="24">
        <v>196.31</v>
      </c>
      <c r="U175" s="24">
        <v>7.967</v>
      </c>
    </row>
    <row r="176">
      <c r="B176" s="116" t="s">
        <v>104</v>
      </c>
      <c r="C176" s="24">
        <v>18.073</v>
      </c>
      <c r="D176" s="24">
        <v>21.223</v>
      </c>
      <c r="E176" s="24">
        <v>18.353</v>
      </c>
      <c r="F176" s="24">
        <v>21.612</v>
      </c>
      <c r="G176" s="24">
        <v>1.846</v>
      </c>
      <c r="H176" s="24">
        <v>2.175</v>
      </c>
      <c r="I176" s="24">
        <v>1.985</v>
      </c>
      <c r="J176" s="24">
        <v>2.399</v>
      </c>
      <c r="K176" s="24">
        <v>3.68</v>
      </c>
      <c r="L176" s="24">
        <v>14.859</v>
      </c>
      <c r="M176" s="24">
        <v>107.214</v>
      </c>
      <c r="N176" s="24">
        <v>177.647</v>
      </c>
      <c r="O176" s="24">
        <v>108.342</v>
      </c>
      <c r="P176" s="24">
        <v>175.636</v>
      </c>
      <c r="Q176" s="118">
        <v>110.894</v>
      </c>
      <c r="R176" s="118">
        <v>184.183</v>
      </c>
      <c r="S176" s="24">
        <v>114.906</v>
      </c>
      <c r="T176" s="24">
        <v>195.977</v>
      </c>
      <c r="U176" s="24">
        <v>7.983</v>
      </c>
    </row>
    <row r="177">
      <c r="B177" s="116" t="s">
        <v>105</v>
      </c>
      <c r="C177" s="24">
        <v>17.969</v>
      </c>
      <c r="D177" s="24">
        <v>20.889</v>
      </c>
      <c r="E177" s="24">
        <v>18.145</v>
      </c>
      <c r="F177" s="24">
        <v>21.699</v>
      </c>
      <c r="G177" s="24">
        <v>1.84</v>
      </c>
      <c r="H177" s="24">
        <v>2.235</v>
      </c>
      <c r="I177" s="24">
        <v>1.97</v>
      </c>
      <c r="J177" s="24">
        <v>2.467</v>
      </c>
      <c r="K177" s="24">
        <v>3.382</v>
      </c>
      <c r="L177" s="24">
        <v>16.442</v>
      </c>
      <c r="M177" s="24">
        <v>107.094</v>
      </c>
      <c r="N177" s="24">
        <v>176.094</v>
      </c>
      <c r="O177" s="24">
        <v>108.041</v>
      </c>
      <c r="P177" s="24">
        <v>177.85</v>
      </c>
      <c r="Q177" s="118">
        <v>110.708</v>
      </c>
      <c r="R177" s="118">
        <v>187.915</v>
      </c>
      <c r="S177" s="24">
        <v>114.937</v>
      </c>
      <c r="T177" s="24">
        <v>197.217</v>
      </c>
      <c r="U177" s="24">
        <v>7.949</v>
      </c>
    </row>
    <row r="178">
      <c r="B178" s="116" t="s">
        <v>106</v>
      </c>
      <c r="C178" s="24">
        <v>18.903</v>
      </c>
      <c r="D178" s="24">
        <v>22.225</v>
      </c>
      <c r="E178" s="24">
        <v>19.172</v>
      </c>
      <c r="F178" s="24">
        <v>22.901</v>
      </c>
      <c r="G178" s="24">
        <v>1.947</v>
      </c>
      <c r="H178" s="24">
        <v>2.286</v>
      </c>
      <c r="I178" s="24">
        <v>2.083</v>
      </c>
      <c r="J178" s="24">
        <v>2.555</v>
      </c>
      <c r="K178" s="24">
        <v>3.76</v>
      </c>
      <c r="L178" s="24">
        <v>15.429</v>
      </c>
      <c r="M178" s="24">
        <v>106.827</v>
      </c>
      <c r="N178" s="24">
        <v>174.796</v>
      </c>
      <c r="O178" s="24">
        <v>107.708</v>
      </c>
      <c r="P178" s="24">
        <v>176.265</v>
      </c>
      <c r="Q178" s="118">
        <v>110.381</v>
      </c>
      <c r="R178" s="118">
        <v>188.32</v>
      </c>
      <c r="S178" s="24">
        <v>115.207</v>
      </c>
      <c r="T178" s="24">
        <v>193.777</v>
      </c>
      <c r="U178" s="24">
        <v>8.486</v>
      </c>
    </row>
    <row r="179">
      <c r="B179" s="116" t="s">
        <v>107</v>
      </c>
      <c r="C179" s="24">
        <v>17.799</v>
      </c>
      <c r="D179" s="24">
        <v>21.225</v>
      </c>
      <c r="E179" s="24">
        <v>18.419</v>
      </c>
      <c r="F179" s="24">
        <v>23.178</v>
      </c>
      <c r="G179" s="24">
        <v>1.847</v>
      </c>
      <c r="H179" s="24">
        <v>2.271</v>
      </c>
      <c r="I179" s="24">
        <v>2.011</v>
      </c>
      <c r="J179" s="24">
        <v>2.476</v>
      </c>
      <c r="K179" s="24">
        <v>3.421</v>
      </c>
      <c r="L179" s="24">
        <v>15.017</v>
      </c>
      <c r="M179" s="24">
        <v>107.126</v>
      </c>
      <c r="N179" s="24">
        <v>176.283</v>
      </c>
      <c r="O179" s="24">
        <v>107.891</v>
      </c>
      <c r="P179" s="24">
        <v>175.212</v>
      </c>
      <c r="Q179" s="118">
        <v>110.672</v>
      </c>
      <c r="R179" s="118">
        <v>185.324</v>
      </c>
      <c r="S179" s="24">
        <v>115.172</v>
      </c>
      <c r="T179" s="24">
        <v>194.002</v>
      </c>
      <c r="U179" s="24">
        <v>8.011</v>
      </c>
    </row>
    <row r="180">
      <c r="B180" s="103" t="s">
        <v>47</v>
      </c>
      <c r="C180" s="104" t="str">
        <f t="shared" ref="C180:U180" si="8">AVERAGE(C164:C179)</f>
        <v>18.2179375</v>
      </c>
      <c r="D180" s="104" t="str">
        <f t="shared" si="8"/>
        <v>21.352375</v>
      </c>
      <c r="E180" s="104" t="str">
        <f t="shared" si="8"/>
        <v>18.439375</v>
      </c>
      <c r="F180" s="104" t="str">
        <f t="shared" si="8"/>
        <v>22.1514375</v>
      </c>
      <c r="G180" s="104" t="str">
        <f t="shared" si="8"/>
        <v>1.85</v>
      </c>
      <c r="H180" s="104" t="str">
        <f t="shared" si="8"/>
        <v>2.207625</v>
      </c>
      <c r="I180" s="104" t="str">
        <f t="shared" si="8"/>
        <v>2.01325</v>
      </c>
      <c r="J180" s="104" t="str">
        <f t="shared" si="8"/>
        <v>2.47475</v>
      </c>
      <c r="K180" s="104" t="str">
        <f t="shared" si="8"/>
        <v>3.5011875</v>
      </c>
      <c r="L180" s="104" t="str">
        <f t="shared" si="8"/>
        <v>15.2871875</v>
      </c>
      <c r="M180" s="104" t="str">
        <f t="shared" si="8"/>
        <v>107.2348125</v>
      </c>
      <c r="N180" s="104" t="str">
        <f t="shared" si="8"/>
        <v>175.9650625</v>
      </c>
      <c r="O180" s="104" t="str">
        <f t="shared" si="8"/>
        <v>108.10125</v>
      </c>
      <c r="P180" s="104" t="str">
        <f t="shared" si="8"/>
        <v>175.836875</v>
      </c>
      <c r="Q180" s="104" t="str">
        <f t="shared" si="8"/>
        <v>110.759375</v>
      </c>
      <c r="R180" s="104" t="str">
        <f t="shared" si="8"/>
        <v>185.4995625</v>
      </c>
      <c r="S180" s="104" t="str">
        <f t="shared" si="8"/>
        <v>115.0416875</v>
      </c>
      <c r="T180" s="104" t="str">
        <f t="shared" si="8"/>
        <v>194.603375</v>
      </c>
      <c r="U180" s="104" t="str">
        <f t="shared" si="8"/>
        <v>8.0601875</v>
      </c>
    </row>
    <row r="181">
      <c r="B181" s="103" t="s">
        <v>48</v>
      </c>
      <c r="C181" s="104" t="str">
        <f t="shared" ref="C181:D181" si="9">10000*16/C180</f>
        <v>8782.55291</v>
      </c>
      <c r="D181" s="104" t="str">
        <f t="shared" si="9"/>
        <v>7493.311634</v>
      </c>
      <c r="E181" s="104" t="str">
        <f t="shared" ref="E181:F181" si="10">10000*1024*16/E180</f>
        <v>8885333.695</v>
      </c>
      <c r="F181" s="104" t="str">
        <f t="shared" si="10"/>
        <v>7396359.717</v>
      </c>
      <c r="G181" s="104" t="str">
        <f t="shared" ref="G181:H181" si="11">1000*16*10240/G180</f>
        <v>88562162.16</v>
      </c>
      <c r="H181" s="104" t="str">
        <f t="shared" si="11"/>
        <v>74215503.09</v>
      </c>
      <c r="I181" s="104" t="str">
        <f t="shared" ref="I181:J181" si="12">1000*16*102400/I180</f>
        <v>813808518.6</v>
      </c>
      <c r="J181" s="104" t="str">
        <f t="shared" si="12"/>
        <v>662046671.4</v>
      </c>
      <c r="K181" s="104" t="str">
        <f t="shared" ref="K181:L181" si="13">1000*16*1024000/K180</f>
        <v>4679555151</v>
      </c>
      <c r="L181" s="104" t="str">
        <f t="shared" si="13"/>
        <v>1071747174</v>
      </c>
      <c r="M181" s="104" t="str">
        <f t="shared" ref="M181:N181" si="14">1000*16*10240000/M180</f>
        <v>1527862046</v>
      </c>
      <c r="N181" s="104" t="str">
        <f t="shared" si="14"/>
        <v>931093921</v>
      </c>
      <c r="O181" s="104" t="str">
        <f t="shared" ref="O181:P181" si="15">100*16*102400000/O180</f>
        <v>1515616147</v>
      </c>
      <c r="P181" s="104" t="str">
        <f t="shared" si="15"/>
        <v>931772701.3</v>
      </c>
      <c r="Q181" s="104" t="str">
        <f t="shared" ref="Q181:R181" si="16">10*16*1024000000/Q180</f>
        <v>1479242728</v>
      </c>
      <c r="R181" s="104" t="str">
        <f t="shared" si="16"/>
        <v>883236584.5</v>
      </c>
      <c r="S181" s="104" t="str">
        <f t="shared" ref="S181:T181" si="17">1*16*10240000000/S180</f>
        <v>1424179387</v>
      </c>
      <c r="T181" s="104" t="str">
        <f t="shared" si="17"/>
        <v>841917566.9</v>
      </c>
      <c r="U181" s="104" t="str">
        <f>10000*16/U180</f>
        <v>19850.65484</v>
      </c>
    </row>
    <row r="182">
      <c r="B182" s="103" t="s">
        <v>65</v>
      </c>
      <c r="C182" s="71"/>
      <c r="D182" s="71"/>
      <c r="E182" s="104" t="str">
        <f t="shared" ref="E182:T182" si="18">E181/1024/1024</f>
        <v>8.473714538</v>
      </c>
      <c r="F182" s="104" t="str">
        <f t="shared" si="18"/>
        <v>7.053718297</v>
      </c>
      <c r="G182" s="104" t="str">
        <f t="shared" si="18"/>
        <v>84.45945946</v>
      </c>
      <c r="H182" s="104" t="str">
        <f t="shared" si="18"/>
        <v>70.77741917</v>
      </c>
      <c r="I182" s="104" t="str">
        <f t="shared" si="18"/>
        <v>776.1082826</v>
      </c>
      <c r="J182" s="104" t="str">
        <f t="shared" si="18"/>
        <v>631.3769068</v>
      </c>
      <c r="K182" s="104" t="str">
        <f t="shared" si="18"/>
        <v>4462.77156</v>
      </c>
      <c r="L182" s="104" t="str">
        <f t="shared" si="18"/>
        <v>1022.097753</v>
      </c>
      <c r="M182" s="104" t="str">
        <f t="shared" si="18"/>
        <v>1457.082792</v>
      </c>
      <c r="N182" s="104" t="str">
        <f t="shared" si="18"/>
        <v>887.9603586</v>
      </c>
      <c r="O182" s="104" t="str">
        <f t="shared" si="18"/>
        <v>1445.404193</v>
      </c>
      <c r="P182" s="104" t="str">
        <f t="shared" si="18"/>
        <v>888.6076939</v>
      </c>
      <c r="Q182" s="104" t="str">
        <f t="shared" si="18"/>
        <v>1410.715797</v>
      </c>
      <c r="R182" s="104" t="str">
        <f t="shared" si="18"/>
        <v>842.3200459</v>
      </c>
      <c r="S182" s="104" t="str">
        <f t="shared" si="18"/>
        <v>1358.203303</v>
      </c>
      <c r="T182" s="104" t="str">
        <f t="shared" si="18"/>
        <v>802.9151601</v>
      </c>
      <c r="U182" s="71"/>
    </row>
    <row r="183">
      <c r="M183" s="191"/>
    </row>
    <row r="184">
      <c r="H184" s="27"/>
      <c r="I184" s="27"/>
      <c r="M184" s="191"/>
    </row>
    <row r="185">
      <c r="H185" s="27"/>
      <c r="I185" s="27"/>
      <c r="M185" s="191"/>
    </row>
    <row r="186">
      <c r="H186" s="27"/>
      <c r="I186" s="27"/>
      <c r="M186" s="191"/>
    </row>
    <row r="187">
      <c r="M187" s="191"/>
    </row>
    <row r="188">
      <c r="H188" s="27"/>
      <c r="I188" s="27"/>
      <c r="M188" s="191"/>
    </row>
    <row r="189">
      <c r="M189" s="191"/>
    </row>
    <row r="190">
      <c r="H190" s="27"/>
      <c r="I190" s="27"/>
      <c r="M190" s="191"/>
    </row>
    <row r="191">
      <c r="H191" s="27"/>
      <c r="I191" s="27"/>
      <c r="M191" s="191"/>
    </row>
    <row r="192">
      <c r="M192" s="191"/>
    </row>
    <row r="193">
      <c r="H193" s="27"/>
      <c r="I193" s="27"/>
      <c r="M193" s="191"/>
    </row>
    <row r="194">
      <c r="H194" s="27"/>
      <c r="I194" s="27"/>
      <c r="M194" s="191"/>
    </row>
    <row r="195">
      <c r="H195" s="27"/>
      <c r="I195" s="27"/>
      <c r="M195" s="191"/>
    </row>
    <row r="196">
      <c r="M196" s="191"/>
    </row>
    <row r="197">
      <c r="H197" s="27"/>
      <c r="I197" s="27"/>
      <c r="M197" s="191"/>
    </row>
    <row r="198">
      <c r="H198" s="27"/>
      <c r="I198" s="27"/>
      <c r="M198" s="191"/>
    </row>
    <row r="199">
      <c r="H199" s="27"/>
      <c r="I199" s="27"/>
      <c r="M199" s="191"/>
    </row>
    <row r="200">
      <c r="H200" s="27"/>
      <c r="I200" s="27"/>
      <c r="M200" s="191"/>
    </row>
    <row r="201">
      <c r="H201" s="27"/>
      <c r="I201" s="27"/>
      <c r="M201" s="191"/>
    </row>
    <row r="202">
      <c r="H202" s="27"/>
      <c r="I202" s="27"/>
      <c r="M202" s="191"/>
    </row>
    <row r="203">
      <c r="H203" s="27"/>
      <c r="I203" s="27"/>
      <c r="M203" s="191"/>
    </row>
    <row r="204">
      <c r="M204" s="191"/>
    </row>
    <row r="205">
      <c r="H205" s="27"/>
      <c r="I205" s="27"/>
      <c r="M205" s="191"/>
    </row>
    <row r="206">
      <c r="H206" s="27"/>
      <c r="I206" s="27"/>
      <c r="M206" s="191"/>
    </row>
    <row r="207">
      <c r="M207" s="191"/>
    </row>
    <row r="208">
      <c r="M208" s="191"/>
    </row>
    <row r="209">
      <c r="H209" s="27"/>
      <c r="I209" s="27"/>
      <c r="J209" s="27"/>
      <c r="M209" s="191"/>
    </row>
    <row r="210">
      <c r="H210" s="27"/>
      <c r="I210" s="27"/>
      <c r="M210" s="191"/>
    </row>
    <row r="211">
      <c r="H211" s="27"/>
      <c r="I211" s="27"/>
      <c r="M211" s="191"/>
    </row>
    <row r="212">
      <c r="H212" s="27"/>
      <c r="I212" s="27"/>
      <c r="M212" s="191"/>
    </row>
    <row r="213">
      <c r="H213" s="27"/>
      <c r="I213" s="27"/>
      <c r="M213" s="191"/>
    </row>
    <row r="214">
      <c r="H214" s="27"/>
      <c r="I214" s="27"/>
      <c r="M214" s="191"/>
    </row>
    <row r="215">
      <c r="H215" s="27"/>
      <c r="I215" s="27"/>
      <c r="M215" s="191"/>
    </row>
    <row r="216">
      <c r="M216" s="191"/>
    </row>
    <row r="217">
      <c r="H217" s="27"/>
      <c r="I217" s="27"/>
      <c r="M217" s="191"/>
    </row>
    <row r="218">
      <c r="H218" s="27"/>
      <c r="I218" s="27"/>
      <c r="M218" s="191"/>
    </row>
    <row r="219">
      <c r="H219" s="27"/>
      <c r="I219" s="27"/>
      <c r="M219" s="191"/>
    </row>
    <row r="220">
      <c r="M220" s="191"/>
    </row>
    <row r="221">
      <c r="H221" s="27"/>
      <c r="I221" s="27"/>
      <c r="M221" s="191"/>
    </row>
    <row r="222">
      <c r="M222" s="191"/>
    </row>
    <row r="223">
      <c r="D223" s="27"/>
      <c r="E223" s="27"/>
      <c r="H223" s="27"/>
      <c r="I223" s="27"/>
      <c r="M223" s="191"/>
    </row>
    <row r="224">
      <c r="H224" s="27"/>
      <c r="I224" s="27"/>
      <c r="M224" s="191"/>
    </row>
    <row r="225">
      <c r="D225" s="27"/>
      <c r="E225" s="27"/>
      <c r="H225" s="27"/>
      <c r="I225" s="27"/>
      <c r="M225" s="191"/>
    </row>
    <row r="226">
      <c r="M226" s="191"/>
    </row>
    <row r="227">
      <c r="D227" s="27"/>
      <c r="E227" s="27"/>
      <c r="H227" s="27"/>
      <c r="I227" s="27"/>
      <c r="M227" s="191"/>
    </row>
    <row r="228">
      <c r="M228" s="191"/>
    </row>
    <row r="229">
      <c r="D229" s="27"/>
      <c r="E229" s="27"/>
      <c r="H229" s="27"/>
      <c r="I229" s="27"/>
      <c r="M229" s="191"/>
    </row>
    <row r="230">
      <c r="H230" s="27"/>
      <c r="I230" s="27"/>
      <c r="M230" s="191"/>
    </row>
    <row r="231">
      <c r="D231" s="27"/>
      <c r="E231" s="27"/>
      <c r="H231" s="27"/>
      <c r="I231" s="27"/>
      <c r="M231" s="191"/>
    </row>
    <row r="232">
      <c r="M232" s="191"/>
    </row>
    <row r="233">
      <c r="D233" s="27"/>
      <c r="E233" s="27"/>
      <c r="H233" s="27"/>
      <c r="I233" s="27"/>
      <c r="M233" s="191"/>
    </row>
    <row r="234">
      <c r="M234" s="191"/>
    </row>
    <row r="235">
      <c r="D235" s="27"/>
      <c r="E235" s="27"/>
      <c r="H235" s="27"/>
      <c r="I235" s="27"/>
      <c r="M235" s="191"/>
    </row>
    <row r="236">
      <c r="H236" s="27"/>
      <c r="I236" s="27"/>
      <c r="M236" s="191"/>
    </row>
    <row r="237">
      <c r="D237" s="27"/>
      <c r="E237" s="27"/>
      <c r="H237" s="27"/>
      <c r="I237" s="27"/>
      <c r="M237" s="191"/>
    </row>
    <row r="238">
      <c r="M238" s="191"/>
    </row>
    <row r="239">
      <c r="D239" s="27"/>
      <c r="E239" s="27"/>
      <c r="H239" s="27"/>
      <c r="I239" s="27"/>
      <c r="M239" s="191"/>
    </row>
    <row r="240">
      <c r="M240" s="191"/>
    </row>
    <row r="241">
      <c r="D241" s="27"/>
      <c r="E241" s="27"/>
      <c r="H241" s="27"/>
      <c r="I241" s="27"/>
      <c r="M241" s="191"/>
    </row>
    <row r="242">
      <c r="H242" s="27"/>
      <c r="I242" s="27"/>
      <c r="M242" s="191"/>
    </row>
    <row r="243">
      <c r="D243" s="27"/>
      <c r="E243" s="27"/>
      <c r="H243" s="27"/>
      <c r="I243" s="27"/>
      <c r="M243" s="191"/>
    </row>
    <row r="244">
      <c r="M244" s="191"/>
    </row>
    <row r="245">
      <c r="D245" s="27"/>
      <c r="E245" s="27"/>
      <c r="H245" s="27"/>
      <c r="I245" s="27"/>
      <c r="M245" s="191"/>
    </row>
    <row r="246">
      <c r="M246" s="191"/>
    </row>
    <row r="247">
      <c r="D247" s="27"/>
      <c r="E247" s="27"/>
      <c r="H247" s="27"/>
      <c r="I247" s="27"/>
      <c r="M247" s="191"/>
    </row>
    <row r="248">
      <c r="H248" s="27"/>
      <c r="I248" s="27"/>
      <c r="M248" s="191"/>
    </row>
    <row r="249">
      <c r="D249" s="27"/>
      <c r="E249" s="27"/>
      <c r="H249" s="27"/>
      <c r="I249" s="27"/>
      <c r="M249" s="191"/>
    </row>
    <row r="250">
      <c r="M250" s="191"/>
    </row>
    <row r="251">
      <c r="D251" s="27"/>
      <c r="E251" s="27"/>
      <c r="H251" s="27"/>
      <c r="I251" s="27"/>
      <c r="M251" s="191"/>
    </row>
    <row r="252">
      <c r="M252" s="191"/>
    </row>
    <row r="253">
      <c r="D253" s="27"/>
      <c r="E253" s="27"/>
      <c r="H253" s="27"/>
      <c r="I253" s="27"/>
      <c r="M253" s="191"/>
    </row>
    <row r="254">
      <c r="H254" s="27"/>
      <c r="I254" s="27"/>
      <c r="M254" s="191"/>
    </row>
    <row r="255">
      <c r="D255" s="27"/>
      <c r="E255" s="27"/>
      <c r="H255" s="27"/>
      <c r="I255" s="27"/>
      <c r="J255" s="27"/>
      <c r="M255" s="191"/>
    </row>
    <row r="256">
      <c r="M256" s="191"/>
    </row>
    <row r="257">
      <c r="D257" s="27"/>
      <c r="E257" s="27"/>
      <c r="H257" s="27"/>
      <c r="I257" s="27"/>
      <c r="M257" s="191"/>
    </row>
    <row r="258">
      <c r="M258" s="191"/>
    </row>
    <row r="259">
      <c r="D259" s="27"/>
      <c r="E259" s="27"/>
      <c r="H259" s="27"/>
      <c r="I259" s="27"/>
      <c r="M259" s="191"/>
    </row>
    <row r="260">
      <c r="H260" s="27"/>
      <c r="I260" s="27"/>
      <c r="M260" s="191"/>
    </row>
    <row r="261">
      <c r="D261" s="27"/>
      <c r="E261" s="27"/>
      <c r="H261" s="27" t="s">
        <v>607</v>
      </c>
      <c r="I261" s="27"/>
      <c r="M261" s="191"/>
    </row>
    <row r="262">
      <c r="M262" s="191"/>
    </row>
    <row r="263">
      <c r="D263" s="27"/>
      <c r="E263" s="27"/>
      <c r="H263" s="27"/>
      <c r="I263" s="27"/>
      <c r="M263" s="191"/>
    </row>
    <row r="264">
      <c r="M264" s="191"/>
    </row>
    <row r="265">
      <c r="D265" s="27"/>
      <c r="E265" s="27"/>
      <c r="H265" s="27" t="s">
        <v>607</v>
      </c>
      <c r="I265" s="27"/>
      <c r="M265" s="191"/>
    </row>
    <row r="266">
      <c r="M266" s="191"/>
    </row>
    <row r="267">
      <c r="D267" s="27"/>
      <c r="E267" s="27"/>
      <c r="H267" s="27" t="s">
        <v>607</v>
      </c>
      <c r="I267" s="27"/>
      <c r="M267" s="191"/>
    </row>
    <row r="268">
      <c r="M268" s="191"/>
    </row>
    <row r="269">
      <c r="D269" s="27"/>
      <c r="E269" s="27"/>
      <c r="H269" s="27" t="s">
        <v>607</v>
      </c>
      <c r="I269" s="27"/>
      <c r="M269" s="191"/>
    </row>
    <row r="270">
      <c r="M270" s="191"/>
    </row>
    <row r="271">
      <c r="D271" s="27"/>
      <c r="E271" s="27"/>
      <c r="H271" s="27"/>
      <c r="I271" s="27"/>
      <c r="M271" s="191"/>
    </row>
    <row r="272">
      <c r="M272" s="191"/>
    </row>
    <row r="273">
      <c r="D273" s="27"/>
      <c r="E273" s="27"/>
      <c r="H273" s="27" t="s">
        <v>607</v>
      </c>
      <c r="I273" s="27"/>
      <c r="M273" s="191"/>
    </row>
    <row r="274">
      <c r="M274" s="191"/>
    </row>
    <row r="275">
      <c r="D275" s="27"/>
      <c r="E275" s="27"/>
      <c r="H275" s="27"/>
      <c r="I275" s="27"/>
      <c r="M275" s="191"/>
    </row>
    <row r="276">
      <c r="M276" s="191"/>
    </row>
    <row r="277">
      <c r="D277" s="27"/>
      <c r="E277" s="27"/>
      <c r="H277" s="27" t="s">
        <v>607</v>
      </c>
      <c r="I277" s="27"/>
      <c r="M277" s="191"/>
    </row>
    <row r="278">
      <c r="M278" s="191"/>
    </row>
    <row r="279">
      <c r="D279" s="27"/>
      <c r="E279" s="27"/>
      <c r="H279" s="27"/>
      <c r="I279" s="27"/>
      <c r="M279" s="191"/>
    </row>
    <row r="280">
      <c r="M280" s="191"/>
    </row>
    <row r="281">
      <c r="D281" s="27"/>
      <c r="E281" s="27"/>
      <c r="H281" s="27" t="s">
        <v>607</v>
      </c>
      <c r="I281" s="27"/>
      <c r="M281" s="191"/>
    </row>
    <row r="282">
      <c r="M282" s="191"/>
    </row>
    <row r="283">
      <c r="D283" s="27"/>
      <c r="E283" s="27"/>
      <c r="H283" s="27"/>
      <c r="I283" s="27"/>
      <c r="M283" s="191"/>
    </row>
    <row r="284">
      <c r="M284" s="191"/>
    </row>
    <row r="285">
      <c r="D285" s="27"/>
      <c r="E285" s="27"/>
      <c r="H285" s="27"/>
      <c r="I285" s="27"/>
      <c r="M285" s="191"/>
    </row>
    <row r="286">
      <c r="M286" s="191"/>
    </row>
    <row r="287">
      <c r="D287" s="27"/>
      <c r="E287" s="27"/>
      <c r="H287" s="27"/>
      <c r="I287" s="27"/>
      <c r="M287" s="191"/>
    </row>
    <row r="288">
      <c r="M288" s="191"/>
    </row>
    <row r="289">
      <c r="D289" s="27"/>
      <c r="E289" s="27"/>
      <c r="H289" s="27"/>
      <c r="I289" s="27"/>
      <c r="M289" s="191"/>
    </row>
    <row r="290">
      <c r="M290" s="191"/>
    </row>
    <row r="291">
      <c r="D291" s="27"/>
      <c r="E291" s="27"/>
      <c r="H291" s="27"/>
      <c r="I291" s="27"/>
      <c r="M291" s="191"/>
    </row>
    <row r="292">
      <c r="M292" s="191"/>
    </row>
    <row r="293">
      <c r="D293" s="27"/>
      <c r="E293" s="27"/>
      <c r="H293" s="27" t="s">
        <v>607</v>
      </c>
      <c r="I293" s="27"/>
      <c r="M293" s="191"/>
    </row>
    <row r="294">
      <c r="M294" s="191"/>
    </row>
    <row r="295">
      <c r="D295" s="27"/>
      <c r="E295" s="27"/>
      <c r="H295" s="27"/>
      <c r="I295" s="27"/>
      <c r="M295" s="191"/>
    </row>
    <row r="296">
      <c r="M296" s="191"/>
    </row>
    <row r="297">
      <c r="D297" s="27"/>
      <c r="E297" s="27"/>
      <c r="H297" s="27" t="s">
        <v>607</v>
      </c>
      <c r="I297" s="27"/>
      <c r="M297" s="191"/>
    </row>
    <row r="298">
      <c r="M298" s="191"/>
    </row>
    <row r="299">
      <c r="D299" s="27"/>
      <c r="E299" s="27"/>
      <c r="H299" s="27"/>
      <c r="I299" s="27"/>
      <c r="M299" s="191"/>
    </row>
    <row r="300">
      <c r="M300" s="191"/>
    </row>
    <row r="301">
      <c r="D301" s="27"/>
      <c r="E301" s="27"/>
      <c r="H301" s="27" t="s">
        <v>607</v>
      </c>
      <c r="I301" s="27"/>
      <c r="M301" s="191"/>
    </row>
    <row r="302">
      <c r="M302" s="191"/>
    </row>
    <row r="303">
      <c r="D303" s="27"/>
      <c r="E303" s="27"/>
      <c r="H303" s="27"/>
      <c r="I303" s="27"/>
      <c r="M303" s="191"/>
    </row>
    <row r="304">
      <c r="M304" s="191"/>
    </row>
    <row r="305">
      <c r="D305" s="27"/>
      <c r="E305" s="27"/>
      <c r="H305" s="27" t="s">
        <v>607</v>
      </c>
      <c r="I305" s="27"/>
      <c r="M305" s="191"/>
    </row>
    <row r="306">
      <c r="M306" s="191"/>
    </row>
    <row r="307">
      <c r="D307" s="27"/>
      <c r="E307" s="27"/>
      <c r="H307" s="27"/>
      <c r="I307" s="27"/>
      <c r="M307" s="191"/>
    </row>
    <row r="308">
      <c r="M308" s="191"/>
    </row>
    <row r="309">
      <c r="D309" s="27"/>
      <c r="E309" s="27"/>
      <c r="H309" s="27" t="s">
        <v>607</v>
      </c>
      <c r="I309" s="27"/>
      <c r="M309" s="191"/>
    </row>
    <row r="310">
      <c r="M310" s="191"/>
    </row>
    <row r="311">
      <c r="D311" s="27"/>
      <c r="E311" s="27"/>
      <c r="H311" s="27"/>
      <c r="I311" s="27"/>
      <c r="M311" s="191"/>
    </row>
    <row r="312">
      <c r="M312" s="191"/>
    </row>
    <row r="313">
      <c r="D313" s="27"/>
      <c r="E313" s="27"/>
      <c r="H313" s="27" t="s">
        <v>607</v>
      </c>
      <c r="I313" s="27"/>
      <c r="M313" s="191"/>
    </row>
    <row r="314">
      <c r="M314" s="191"/>
    </row>
    <row r="315">
      <c r="D315" s="27"/>
      <c r="E315" s="27"/>
      <c r="H315" s="27"/>
      <c r="I315" s="27"/>
      <c r="M315" s="191"/>
    </row>
    <row r="316">
      <c r="M316" s="191"/>
    </row>
    <row r="317">
      <c r="D317" s="27"/>
      <c r="E317" s="27"/>
      <c r="H317" s="27" t="s">
        <v>607</v>
      </c>
      <c r="I317" s="27"/>
      <c r="M317" s="191"/>
    </row>
    <row r="318">
      <c r="M318" s="191"/>
    </row>
    <row r="319">
      <c r="D319" s="27"/>
      <c r="E319" s="27"/>
      <c r="H319" s="27"/>
      <c r="I319" s="27"/>
      <c r="M319" s="191"/>
    </row>
    <row r="320">
      <c r="M320" s="191"/>
    </row>
    <row r="321">
      <c r="D321" s="27"/>
      <c r="E321" s="27"/>
      <c r="H321" s="27" t="s">
        <v>607</v>
      </c>
      <c r="I321" s="27"/>
      <c r="M321" s="191"/>
    </row>
    <row r="322">
      <c r="M322" s="191"/>
    </row>
    <row r="323">
      <c r="D323" s="27"/>
      <c r="E323" s="27"/>
      <c r="H323" s="27"/>
      <c r="I323" s="27"/>
      <c r="M323" s="191"/>
    </row>
    <row r="324">
      <c r="M324" s="191"/>
    </row>
    <row r="325">
      <c r="D325" s="27"/>
      <c r="E325" s="27"/>
      <c r="H325" s="27" t="s">
        <v>607</v>
      </c>
      <c r="I325" s="27"/>
      <c r="M325" s="191"/>
    </row>
    <row r="326">
      <c r="M326" s="191"/>
    </row>
    <row r="327">
      <c r="D327" s="27"/>
      <c r="E327" s="27"/>
      <c r="H327" s="27"/>
      <c r="I327" s="27"/>
      <c r="M327" s="191"/>
    </row>
    <row r="328">
      <c r="M328" s="191"/>
    </row>
    <row r="329">
      <c r="D329" s="27"/>
      <c r="E329" s="27"/>
      <c r="H329" s="27" t="s">
        <v>607</v>
      </c>
      <c r="I329" s="27"/>
      <c r="M329" s="191"/>
    </row>
    <row r="330">
      <c r="M330" s="191"/>
    </row>
    <row r="331">
      <c r="D331" s="27"/>
      <c r="E331" s="27"/>
      <c r="H331" s="27"/>
      <c r="I331" s="27"/>
      <c r="M331" s="191"/>
    </row>
    <row r="332">
      <c r="M332" s="191"/>
    </row>
    <row r="333">
      <c r="D333" s="27"/>
      <c r="E333" s="27"/>
      <c r="H333" s="27" t="s">
        <v>607</v>
      </c>
      <c r="I333" s="27"/>
      <c r="M333" s="191"/>
    </row>
    <row r="334">
      <c r="H334" s="27"/>
      <c r="I334" s="27"/>
      <c r="M334" s="191"/>
    </row>
    <row r="335">
      <c r="D335" s="27"/>
      <c r="E335" s="27"/>
      <c r="H335" s="27" t="s">
        <v>607</v>
      </c>
      <c r="I335" s="27"/>
      <c r="M335" s="191"/>
    </row>
    <row r="336">
      <c r="H336" s="27"/>
      <c r="I336" s="27"/>
      <c r="M336" s="191"/>
    </row>
    <row r="337">
      <c r="D337" s="27"/>
      <c r="E337" s="27"/>
      <c r="H337" s="27" t="s">
        <v>607</v>
      </c>
      <c r="I337" s="27"/>
      <c r="M337" s="191"/>
    </row>
    <row r="338">
      <c r="H338" s="27"/>
      <c r="I338" s="27"/>
      <c r="M338" s="191"/>
    </row>
    <row r="339">
      <c r="D339" s="27"/>
      <c r="E339" s="27"/>
      <c r="H339" s="27" t="s">
        <v>607</v>
      </c>
      <c r="I339" s="27"/>
      <c r="M339" s="191"/>
    </row>
    <row r="340">
      <c r="H340" s="27"/>
      <c r="I340" s="27"/>
      <c r="M340" s="191"/>
    </row>
    <row r="341">
      <c r="D341" s="27"/>
      <c r="E341" s="27"/>
      <c r="H341" s="27" t="s">
        <v>607</v>
      </c>
      <c r="I341" s="27"/>
      <c r="M341" s="191"/>
    </row>
    <row r="342">
      <c r="H342" s="27"/>
      <c r="I342" s="27"/>
      <c r="M342" s="191"/>
    </row>
    <row r="343">
      <c r="D343" s="27"/>
      <c r="E343" s="27"/>
      <c r="H343" s="27" t="s">
        <v>607</v>
      </c>
      <c r="I343" s="27"/>
      <c r="M343" s="191"/>
    </row>
    <row r="344">
      <c r="H344" s="27"/>
      <c r="I344" s="27"/>
      <c r="J344" s="27"/>
      <c r="M344" s="191"/>
    </row>
    <row r="345">
      <c r="D345" s="27"/>
      <c r="E345" s="27"/>
      <c r="H345" s="27" t="s">
        <v>607</v>
      </c>
      <c r="I345" s="27"/>
      <c r="M345" s="191"/>
    </row>
    <row r="346">
      <c r="H346" s="27"/>
      <c r="I346" s="27"/>
      <c r="M346" s="191"/>
    </row>
    <row r="347">
      <c r="D347" s="27"/>
      <c r="E347" s="27"/>
      <c r="H347" s="27" t="s">
        <v>607</v>
      </c>
      <c r="I347" s="27"/>
      <c r="M347" s="191"/>
    </row>
    <row r="348">
      <c r="H348" s="27"/>
      <c r="I348" s="27"/>
      <c r="M348" s="191"/>
    </row>
    <row r="349">
      <c r="H349" s="27" t="s">
        <v>607</v>
      </c>
      <c r="I349" s="27"/>
      <c r="M349" s="191"/>
    </row>
    <row r="350">
      <c r="H350" s="27"/>
      <c r="I350" s="27"/>
      <c r="M350" s="191"/>
    </row>
    <row r="351">
      <c r="H351" s="27" t="s">
        <v>607</v>
      </c>
      <c r="I351" s="27"/>
      <c r="M351" s="191"/>
    </row>
    <row r="352">
      <c r="H352" s="27"/>
      <c r="I352" s="27"/>
      <c r="M352" s="191"/>
    </row>
    <row r="353">
      <c r="H353" s="27" t="s">
        <v>607</v>
      </c>
      <c r="I353" s="27"/>
      <c r="M353" s="191"/>
    </row>
    <row r="354">
      <c r="H354" s="27"/>
      <c r="I354" s="27"/>
      <c r="M354" s="191"/>
    </row>
    <row r="355">
      <c r="H355" s="27" t="s">
        <v>607</v>
      </c>
      <c r="I355" s="27"/>
      <c r="M355" s="191"/>
    </row>
    <row r="356">
      <c r="H356" s="27" t="s">
        <v>607</v>
      </c>
      <c r="I356" s="27"/>
      <c r="M356" s="191"/>
    </row>
    <row r="357">
      <c r="H357" s="27" t="s">
        <v>607</v>
      </c>
      <c r="I357" s="27"/>
      <c r="M357" s="191"/>
    </row>
    <row r="358">
      <c r="H358" s="27"/>
      <c r="I358" s="27"/>
      <c r="M358" s="191"/>
    </row>
    <row r="359">
      <c r="H359" s="27" t="s">
        <v>607</v>
      </c>
      <c r="I359" s="27"/>
      <c r="M359" s="191"/>
    </row>
    <row r="360">
      <c r="H360" s="27"/>
      <c r="I360" s="27"/>
      <c r="M360" s="191"/>
    </row>
    <row r="361">
      <c r="H361" s="27" t="s">
        <v>607</v>
      </c>
      <c r="I361" s="27"/>
      <c r="M361" s="191"/>
    </row>
    <row r="362">
      <c r="H362" s="27"/>
      <c r="I362" s="27"/>
      <c r="M362" s="191"/>
    </row>
    <row r="363">
      <c r="H363" s="27" t="s">
        <v>607</v>
      </c>
      <c r="I363" s="27"/>
      <c r="M363" s="191"/>
    </row>
    <row r="364">
      <c r="H364" s="27"/>
      <c r="I364" s="27"/>
      <c r="M364" s="191"/>
    </row>
    <row r="365">
      <c r="H365" s="27" t="s">
        <v>607</v>
      </c>
      <c r="I365" s="27"/>
      <c r="M365" s="191"/>
    </row>
    <row r="366">
      <c r="H366" s="27"/>
      <c r="I366" s="27"/>
      <c r="M366" s="191"/>
    </row>
    <row r="367">
      <c r="H367" s="27" t="s">
        <v>607</v>
      </c>
      <c r="I367" s="27"/>
      <c r="M367" s="191"/>
    </row>
    <row r="368">
      <c r="H368" s="27">
        <v>8.002</v>
      </c>
      <c r="I368" s="27"/>
      <c r="J368" s="27"/>
      <c r="M368" s="191"/>
    </row>
    <row r="369">
      <c r="H369" s="27" t="s">
        <v>607</v>
      </c>
      <c r="I369" s="27"/>
      <c r="M369" s="191"/>
    </row>
    <row r="370">
      <c r="H370" s="27"/>
      <c r="I370" s="27"/>
      <c r="M370" s="191"/>
    </row>
    <row r="371">
      <c r="H371" s="27" t="s">
        <v>607</v>
      </c>
      <c r="I371" s="27"/>
      <c r="M371" s="191"/>
    </row>
    <row r="372">
      <c r="H372" s="27"/>
      <c r="I372" s="27"/>
      <c r="M372" s="191"/>
    </row>
    <row r="373">
      <c r="H373" s="27" t="s">
        <v>607</v>
      </c>
      <c r="I373" s="27"/>
      <c r="M373" s="191"/>
    </row>
    <row r="374">
      <c r="H374" s="27" t="s">
        <v>607</v>
      </c>
      <c r="I374" s="27"/>
      <c r="M374" s="191"/>
    </row>
    <row r="375">
      <c r="M375" s="191"/>
    </row>
    <row r="376">
      <c r="H376" s="27"/>
      <c r="I376" s="27"/>
      <c r="M376" s="191"/>
    </row>
    <row r="377">
      <c r="H377" s="27" t="s">
        <v>607</v>
      </c>
      <c r="I377" s="27"/>
      <c r="M377" s="191"/>
    </row>
    <row r="378">
      <c r="H378" s="27"/>
      <c r="I378" s="27"/>
      <c r="M378" s="191"/>
    </row>
    <row r="379">
      <c r="H379" s="27" t="s">
        <v>607</v>
      </c>
      <c r="I379" s="27"/>
      <c r="M379" s="191"/>
    </row>
    <row r="380">
      <c r="H380" s="27"/>
      <c r="I380" s="27"/>
      <c r="M380" s="191"/>
    </row>
    <row r="381">
      <c r="H381" s="27" t="s">
        <v>607</v>
      </c>
      <c r="I381" s="27"/>
      <c r="M381" s="191"/>
    </row>
    <row r="382">
      <c r="H382" s="27"/>
      <c r="I382" s="27"/>
      <c r="M382" s="191"/>
    </row>
    <row r="383">
      <c r="H383" s="27" t="s">
        <v>607</v>
      </c>
      <c r="I383" s="27"/>
      <c r="M383" s="191"/>
    </row>
    <row r="384">
      <c r="H384" s="27"/>
      <c r="I384" s="27"/>
      <c r="M384" s="191"/>
    </row>
    <row r="385">
      <c r="H385" s="27" t="s">
        <v>607</v>
      </c>
      <c r="I385" s="27"/>
      <c r="M385" s="191"/>
    </row>
    <row r="386">
      <c r="H386" s="27"/>
      <c r="I386" s="27"/>
      <c r="M386" s="191"/>
    </row>
    <row r="387">
      <c r="H387" s="27" t="s">
        <v>607</v>
      </c>
      <c r="I387" s="27"/>
      <c r="M387" s="191"/>
    </row>
    <row r="388">
      <c r="H388" s="27"/>
      <c r="I388" s="27"/>
      <c r="M388" s="191"/>
    </row>
    <row r="389">
      <c r="H389" s="27" t="s">
        <v>607</v>
      </c>
      <c r="I389" s="27"/>
      <c r="M389" s="191"/>
    </row>
    <row r="390">
      <c r="H390" s="27"/>
      <c r="I390" s="27"/>
      <c r="M390" s="191"/>
    </row>
    <row r="391">
      <c r="H391" s="27" t="s">
        <v>607</v>
      </c>
      <c r="I391" s="27"/>
      <c r="M391" s="191"/>
    </row>
    <row r="392">
      <c r="H392" s="27" t="s">
        <v>607</v>
      </c>
      <c r="I392" s="27"/>
      <c r="M392" s="191"/>
    </row>
    <row r="393">
      <c r="H393" s="27" t="s">
        <v>607</v>
      </c>
      <c r="I393" s="27"/>
      <c r="M393" s="191"/>
    </row>
    <row r="394">
      <c r="H394" s="27"/>
      <c r="I394" s="27"/>
      <c r="M394" s="191"/>
    </row>
    <row r="395">
      <c r="M395" s="191"/>
    </row>
    <row r="396">
      <c r="H396" s="27"/>
      <c r="I396" s="27"/>
      <c r="M396" s="191"/>
    </row>
    <row r="397">
      <c r="M397" s="191"/>
    </row>
    <row r="398">
      <c r="H398" s="27"/>
      <c r="I398" s="27"/>
      <c r="M398" s="191"/>
    </row>
    <row r="399">
      <c r="H399" s="27"/>
      <c r="I399" s="27"/>
      <c r="M399" s="191"/>
    </row>
    <row r="400">
      <c r="H400" s="27"/>
      <c r="I400" s="27"/>
      <c r="M400" s="191"/>
    </row>
    <row r="401">
      <c r="M401" s="191"/>
    </row>
    <row r="402">
      <c r="H402" s="27"/>
      <c r="I402" s="27"/>
      <c r="J402" s="27"/>
      <c r="M402" s="191"/>
    </row>
    <row r="403">
      <c r="M403" s="191"/>
    </row>
    <row r="404">
      <c r="H404" s="27"/>
      <c r="I404" s="27"/>
      <c r="M404" s="191"/>
    </row>
    <row r="405">
      <c r="H405" s="27"/>
      <c r="I405" s="27"/>
      <c r="M405" s="191"/>
    </row>
    <row r="406">
      <c r="H406" s="27"/>
      <c r="I406" s="27"/>
      <c r="M406" s="191"/>
    </row>
    <row r="407">
      <c r="M407" s="191"/>
    </row>
    <row r="408">
      <c r="H408" s="27"/>
      <c r="I408" s="27"/>
      <c r="M408" s="191"/>
    </row>
    <row r="409">
      <c r="M409" s="191"/>
    </row>
    <row r="410">
      <c r="H410" s="27"/>
      <c r="I410" s="27"/>
      <c r="M410" s="191"/>
    </row>
    <row r="411">
      <c r="H411" s="27"/>
      <c r="I411" s="27"/>
      <c r="M411" s="191"/>
    </row>
    <row r="412">
      <c r="H412" s="27"/>
      <c r="I412" s="27"/>
      <c r="M412" s="191"/>
    </row>
    <row r="413">
      <c r="M413" s="191"/>
    </row>
    <row r="414">
      <c r="H414" s="27" t="s">
        <v>607</v>
      </c>
      <c r="I414" s="27"/>
      <c r="M414" s="191"/>
    </row>
    <row r="415">
      <c r="M415" s="191"/>
    </row>
    <row r="416">
      <c r="M416" s="191"/>
    </row>
    <row r="417">
      <c r="H417" s="27"/>
      <c r="I417" s="27"/>
      <c r="M417" s="191"/>
    </row>
    <row r="418">
      <c r="M418" s="191"/>
    </row>
    <row r="419">
      <c r="M419" s="191"/>
    </row>
    <row r="420">
      <c r="H420" s="27"/>
      <c r="I420" s="27"/>
      <c r="J420" s="27"/>
      <c r="M420" s="191"/>
    </row>
    <row r="421">
      <c r="M421" s="191"/>
    </row>
    <row r="422">
      <c r="M422" s="191"/>
    </row>
    <row r="423">
      <c r="H423" s="27"/>
      <c r="I423" s="27"/>
      <c r="M423" s="191"/>
    </row>
    <row r="424">
      <c r="M424" s="191"/>
    </row>
    <row r="425">
      <c r="H425" s="27"/>
      <c r="I425" s="27"/>
      <c r="M425" s="191"/>
    </row>
    <row r="426">
      <c r="M426" s="191"/>
    </row>
    <row r="427">
      <c r="H427" s="27" t="s">
        <v>607</v>
      </c>
      <c r="I427" s="27"/>
      <c r="M427" s="191"/>
    </row>
    <row r="428">
      <c r="M428" s="191"/>
    </row>
    <row r="429">
      <c r="M429" s="191"/>
    </row>
    <row r="430">
      <c r="H430" s="27"/>
      <c r="I430" s="27"/>
      <c r="M430" s="191"/>
    </row>
    <row r="431">
      <c r="M431" s="191"/>
    </row>
    <row r="432">
      <c r="M432" s="191"/>
    </row>
    <row r="433">
      <c r="H433" s="27"/>
      <c r="I433" s="27"/>
      <c r="M433" s="191"/>
    </row>
    <row r="434">
      <c r="M434" s="191"/>
    </row>
    <row r="435">
      <c r="M435" s="191"/>
    </row>
    <row r="436">
      <c r="H436" s="27"/>
      <c r="I436" s="27"/>
      <c r="M436" s="191"/>
    </row>
    <row r="437">
      <c r="M437" s="191"/>
    </row>
    <row r="438">
      <c r="M438" s="191"/>
    </row>
    <row r="439">
      <c r="H439" s="27">
        <v>7.988</v>
      </c>
      <c r="I439" s="27"/>
      <c r="J439" s="27"/>
      <c r="M439" s="191"/>
    </row>
    <row r="440">
      <c r="M440" s="191"/>
    </row>
    <row r="441">
      <c r="M441" s="191"/>
    </row>
    <row r="442">
      <c r="H442" s="27" t="s">
        <v>607</v>
      </c>
      <c r="I442" s="27"/>
      <c r="M442" s="191"/>
    </row>
    <row r="443">
      <c r="M443" s="191"/>
    </row>
    <row r="444">
      <c r="M444" s="191"/>
    </row>
    <row r="445">
      <c r="H445" s="27"/>
      <c r="I445" s="27"/>
      <c r="M445" s="191"/>
    </row>
    <row r="446">
      <c r="M446" s="191"/>
    </row>
    <row r="447">
      <c r="H447" s="27"/>
      <c r="I447" s="27"/>
      <c r="M447" s="191"/>
    </row>
    <row r="448">
      <c r="M448" s="191"/>
    </row>
    <row r="449">
      <c r="M449" s="191"/>
    </row>
    <row r="450">
      <c r="H450" s="27" t="s">
        <v>607</v>
      </c>
      <c r="I450" s="27"/>
      <c r="M450" s="191"/>
    </row>
    <row r="451">
      <c r="M451" s="191"/>
    </row>
    <row r="452">
      <c r="M452" s="191"/>
    </row>
    <row r="453">
      <c r="H453" s="27"/>
      <c r="I453" s="27"/>
      <c r="M453" s="191"/>
    </row>
    <row r="454">
      <c r="M454" s="191"/>
    </row>
    <row r="455">
      <c r="M455" s="191"/>
    </row>
    <row r="456">
      <c r="H456" s="27"/>
      <c r="I456" s="27"/>
      <c r="M456" s="191"/>
    </row>
    <row r="457">
      <c r="M457" s="191"/>
    </row>
    <row r="458">
      <c r="M458" s="191"/>
    </row>
    <row r="459">
      <c r="H459" s="27" t="s">
        <v>607</v>
      </c>
      <c r="I459" s="27"/>
      <c r="M459" s="191"/>
    </row>
    <row r="460">
      <c r="M460" s="191"/>
    </row>
    <row r="461">
      <c r="H461" s="27"/>
      <c r="I461" s="27"/>
      <c r="M461" s="191"/>
    </row>
    <row r="462">
      <c r="M462" s="191"/>
    </row>
    <row r="463">
      <c r="M463" s="191"/>
    </row>
    <row r="464">
      <c r="H464" s="27"/>
      <c r="I464" s="27"/>
      <c r="M464" s="191"/>
    </row>
    <row r="465">
      <c r="M465" s="191"/>
    </row>
    <row r="466">
      <c r="M466" s="191"/>
    </row>
    <row r="467">
      <c r="H467" s="27" t="s">
        <v>607</v>
      </c>
      <c r="I467" s="27"/>
      <c r="M467" s="191"/>
    </row>
    <row r="468">
      <c r="M468" s="191"/>
    </row>
    <row r="469">
      <c r="M469" s="191"/>
    </row>
    <row r="470">
      <c r="H470" s="27"/>
      <c r="I470" s="27"/>
      <c r="M470" s="191"/>
    </row>
    <row r="471">
      <c r="M471" s="191"/>
    </row>
    <row r="472">
      <c r="M472" s="191"/>
    </row>
    <row r="473">
      <c r="H473" s="27"/>
      <c r="I473" s="27"/>
      <c r="J473" s="27"/>
      <c r="M473" s="191"/>
    </row>
    <row r="474">
      <c r="M474" s="191"/>
    </row>
    <row r="475">
      <c r="M475" s="191"/>
    </row>
    <row r="476">
      <c r="H476" s="27" t="s">
        <v>607</v>
      </c>
      <c r="I476" s="27"/>
      <c r="M476" s="191"/>
    </row>
    <row r="477">
      <c r="M477" s="191"/>
    </row>
    <row r="478">
      <c r="H478" s="27"/>
      <c r="I478" s="27"/>
      <c r="M478" s="191"/>
    </row>
    <row r="479">
      <c r="M479" s="191"/>
    </row>
    <row r="480">
      <c r="H480" s="27"/>
      <c r="I480" s="27"/>
      <c r="M480" s="191"/>
    </row>
    <row r="481">
      <c r="M481" s="191"/>
    </row>
    <row r="482">
      <c r="M482" s="191"/>
    </row>
    <row r="483">
      <c r="H483" s="27" t="s">
        <v>607</v>
      </c>
      <c r="I483" s="27"/>
      <c r="M483" s="191"/>
    </row>
    <row r="484">
      <c r="M484" s="191"/>
    </row>
    <row r="485">
      <c r="M485" s="191"/>
    </row>
    <row r="486">
      <c r="H486" s="27"/>
      <c r="I486" s="27"/>
      <c r="M486" s="191"/>
    </row>
    <row r="487">
      <c r="M487" s="191"/>
    </row>
    <row r="488">
      <c r="H488" s="27"/>
      <c r="I488" s="27"/>
      <c r="M488" s="191"/>
    </row>
    <row r="489">
      <c r="M489" s="191"/>
    </row>
    <row r="490">
      <c r="H490" s="27" t="s">
        <v>607</v>
      </c>
      <c r="I490" s="27"/>
      <c r="M490" s="191"/>
    </row>
    <row r="491">
      <c r="M491" s="191"/>
    </row>
    <row r="492">
      <c r="H492" s="27">
        <v>8.048</v>
      </c>
      <c r="I492" s="27"/>
      <c r="J492" s="27"/>
      <c r="M492" s="191"/>
    </row>
    <row r="493">
      <c r="M493" s="191"/>
    </row>
    <row r="494">
      <c r="H494" s="27" t="s">
        <v>607</v>
      </c>
      <c r="I494" s="27"/>
      <c r="M494" s="191"/>
    </row>
    <row r="495">
      <c r="M495" s="191"/>
    </row>
    <row r="496">
      <c r="H496" s="27"/>
      <c r="I496" s="27"/>
      <c r="M496" s="191"/>
    </row>
    <row r="497">
      <c r="M497" s="191"/>
    </row>
    <row r="498">
      <c r="H498" s="27"/>
      <c r="I498" s="27"/>
      <c r="M498" s="191"/>
    </row>
    <row r="499">
      <c r="H499" s="27" t="s">
        <v>607</v>
      </c>
      <c r="I499" s="27"/>
      <c r="M499" s="191"/>
    </row>
    <row r="500">
      <c r="H500" s="27" t="s">
        <v>607</v>
      </c>
      <c r="I500" s="27"/>
      <c r="M500" s="191"/>
    </row>
    <row r="501">
      <c r="H501" s="27"/>
      <c r="I501" s="27"/>
      <c r="J501" s="27"/>
      <c r="M501" s="191"/>
    </row>
    <row r="502">
      <c r="H502" s="27" t="s">
        <v>607</v>
      </c>
      <c r="I502" s="27"/>
      <c r="M502" s="191"/>
    </row>
    <row r="503">
      <c r="M503" s="191"/>
    </row>
    <row r="504">
      <c r="H504" s="27"/>
      <c r="I504" s="27"/>
      <c r="M504" s="191"/>
    </row>
    <row r="505">
      <c r="H505" s="27" t="s">
        <v>607</v>
      </c>
      <c r="I505" s="27"/>
      <c r="M505" s="191"/>
    </row>
    <row r="506">
      <c r="H506" s="27"/>
      <c r="I506" s="27"/>
      <c r="M506" s="191"/>
    </row>
    <row r="507">
      <c r="H507" s="27">
        <v>7.92</v>
      </c>
      <c r="I507" s="27"/>
      <c r="J507" s="27"/>
      <c r="M507" s="191"/>
    </row>
    <row r="508">
      <c r="H508" s="27" t="s">
        <v>607</v>
      </c>
      <c r="I508" s="27"/>
      <c r="M508" s="191"/>
    </row>
    <row r="509">
      <c r="M509" s="191"/>
    </row>
    <row r="510">
      <c r="H510" s="27"/>
      <c r="I510" s="27"/>
      <c r="M510" s="191"/>
    </row>
    <row r="511">
      <c r="H511" s="27" t="s">
        <v>607</v>
      </c>
      <c r="I511" s="27"/>
      <c r="M511" s="191"/>
    </row>
    <row r="512">
      <c r="M512" s="191"/>
    </row>
    <row r="513">
      <c r="M513" s="191"/>
    </row>
    <row r="514">
      <c r="H514" s="27"/>
      <c r="I514" s="27"/>
      <c r="M514" s="191"/>
    </row>
    <row r="515">
      <c r="H515" s="27" t="s">
        <v>607</v>
      </c>
      <c r="I515" s="27"/>
      <c r="M515" s="191"/>
    </row>
    <row r="516">
      <c r="M516" s="191"/>
    </row>
    <row r="517">
      <c r="M517" s="191"/>
    </row>
    <row r="518">
      <c r="H518" s="27"/>
      <c r="I518" s="27"/>
      <c r="J518" s="27"/>
      <c r="M518" s="191"/>
    </row>
    <row r="519">
      <c r="H519" s="27" t="s">
        <v>607</v>
      </c>
      <c r="I519" s="27"/>
      <c r="M519" s="191"/>
    </row>
    <row r="520">
      <c r="M520" s="191"/>
    </row>
    <row r="521">
      <c r="H521" s="27"/>
      <c r="I521" s="27"/>
      <c r="M521" s="191"/>
    </row>
    <row r="522">
      <c r="M522" s="191"/>
    </row>
    <row r="523">
      <c r="H523" s="27"/>
      <c r="I523" s="27"/>
      <c r="M523" s="191"/>
    </row>
    <row r="524">
      <c r="H524" s="27" t="s">
        <v>607</v>
      </c>
      <c r="I524" s="27"/>
      <c r="M524" s="191"/>
    </row>
    <row r="525">
      <c r="H525" s="27"/>
      <c r="I525" s="27"/>
      <c r="M525" s="191"/>
    </row>
    <row r="526">
      <c r="H526" s="27">
        <v>7.965</v>
      </c>
      <c r="I526" s="27"/>
      <c r="J526" s="27"/>
      <c r="M526" s="191"/>
    </row>
    <row r="527">
      <c r="M527" s="191"/>
    </row>
    <row r="528">
      <c r="H528" s="27"/>
      <c r="I528" s="27"/>
      <c r="M528" s="191"/>
    </row>
    <row r="529">
      <c r="H529" s="27" t="s">
        <v>607</v>
      </c>
      <c r="I529" s="27"/>
      <c r="M529" s="191"/>
    </row>
    <row r="530">
      <c r="M530" s="191"/>
    </row>
    <row r="531">
      <c r="H531" s="27"/>
      <c r="I531" s="27"/>
      <c r="M531" s="191"/>
    </row>
    <row r="532">
      <c r="H532" s="27"/>
      <c r="I532" s="27"/>
      <c r="M532" s="191"/>
    </row>
    <row r="533">
      <c r="M533" s="191"/>
    </row>
    <row r="534">
      <c r="H534" s="27"/>
      <c r="I534" s="27"/>
      <c r="J534" s="27"/>
      <c r="M534" s="191"/>
    </row>
    <row r="535">
      <c r="H535" s="27"/>
      <c r="I535" s="27"/>
      <c r="M535" s="191"/>
    </row>
    <row r="536">
      <c r="H536" s="27" t="s">
        <v>607</v>
      </c>
      <c r="I536" s="27"/>
      <c r="M536" s="191"/>
    </row>
    <row r="537">
      <c r="M537" s="191"/>
    </row>
    <row r="538">
      <c r="H538" s="27">
        <v>7.952</v>
      </c>
      <c r="I538" s="27"/>
      <c r="J538" s="27"/>
      <c r="M538" s="191"/>
    </row>
    <row r="539">
      <c r="H539" s="27"/>
      <c r="I539" s="27"/>
      <c r="M539" s="191"/>
    </row>
    <row r="540">
      <c r="H540" s="27" t="s">
        <v>607</v>
      </c>
      <c r="I540" s="27"/>
      <c r="M540" s="191"/>
    </row>
    <row r="541">
      <c r="M541" s="191"/>
    </row>
    <row r="542">
      <c r="H542" s="27"/>
      <c r="I542" s="27"/>
      <c r="J542" s="27"/>
      <c r="M542" s="191"/>
    </row>
    <row r="543">
      <c r="M543" s="191"/>
    </row>
    <row r="544">
      <c r="H544" s="27"/>
      <c r="I544" s="27"/>
      <c r="M544" s="191"/>
    </row>
    <row r="545">
      <c r="H545" s="27" t="s">
        <v>607</v>
      </c>
      <c r="I545" s="27"/>
      <c r="M545" s="191"/>
    </row>
    <row r="546">
      <c r="H546" s="27"/>
      <c r="I546" s="27"/>
      <c r="M546" s="191"/>
    </row>
    <row r="547">
      <c r="H547" s="27" t="s">
        <v>607</v>
      </c>
      <c r="I547" s="27"/>
      <c r="M547" s="191"/>
    </row>
    <row r="548">
      <c r="M548" s="191"/>
    </row>
    <row r="549">
      <c r="H549" s="27"/>
      <c r="I549" s="27"/>
      <c r="M549" s="191"/>
    </row>
    <row r="550">
      <c r="H550" s="27">
        <v>8.045</v>
      </c>
      <c r="I550" s="27"/>
      <c r="J550" s="27"/>
      <c r="M550" s="191"/>
    </row>
    <row r="551">
      <c r="H551" s="27" t="s">
        <v>607</v>
      </c>
      <c r="I551" s="27"/>
      <c r="M551" s="191"/>
    </row>
    <row r="552">
      <c r="M552" s="191"/>
    </row>
    <row r="553">
      <c r="H553" s="27"/>
      <c r="I553" s="27"/>
      <c r="M553" s="191"/>
    </row>
    <row r="554">
      <c r="H554" s="27"/>
      <c r="I554" s="27"/>
      <c r="M554" s="191"/>
    </row>
    <row r="555">
      <c r="H555" s="27"/>
      <c r="I555" s="27"/>
      <c r="M555" s="191"/>
    </row>
    <row r="556">
      <c r="H556" s="27" t="s">
        <v>607</v>
      </c>
      <c r="I556" s="27"/>
      <c r="M556" s="191"/>
    </row>
    <row r="557">
      <c r="H557" s="27"/>
      <c r="I557" s="27"/>
      <c r="J557" s="27"/>
      <c r="M557" s="191"/>
    </row>
    <row r="558">
      <c r="M558" s="191"/>
    </row>
    <row r="559">
      <c r="H559" s="27"/>
      <c r="I559" s="27"/>
      <c r="M559" s="191"/>
    </row>
    <row r="560">
      <c r="H560" s="27" t="s">
        <v>607</v>
      </c>
      <c r="I560" s="27"/>
      <c r="M560" s="191"/>
    </row>
    <row r="561">
      <c r="M561" s="191"/>
    </row>
    <row r="562">
      <c r="H562" s="27"/>
      <c r="I562" s="27"/>
      <c r="M562" s="191"/>
    </row>
    <row r="563">
      <c r="H563" s="27"/>
      <c r="I563" s="27"/>
      <c r="M563" s="191"/>
    </row>
    <row r="564">
      <c r="H564" s="27" t="s">
        <v>607</v>
      </c>
      <c r="I564" s="27"/>
      <c r="M564" s="191"/>
    </row>
    <row r="565">
      <c r="M565" s="191"/>
    </row>
    <row r="566">
      <c r="H566" s="27">
        <v>8.039</v>
      </c>
      <c r="I566" s="27"/>
      <c r="J566" s="27"/>
      <c r="M566" s="191"/>
    </row>
    <row r="567">
      <c r="H567" s="27"/>
      <c r="I567" s="27"/>
      <c r="M567" s="191"/>
    </row>
    <row r="568">
      <c r="M568" s="191"/>
    </row>
    <row r="569">
      <c r="H569" s="27"/>
      <c r="I569" s="27"/>
      <c r="M569" s="191"/>
    </row>
    <row r="570">
      <c r="H570" s="27" t="s">
        <v>607</v>
      </c>
      <c r="I570" s="27"/>
      <c r="M570" s="191"/>
    </row>
    <row r="571">
      <c r="M571" s="191"/>
    </row>
    <row r="572">
      <c r="H572" s="27"/>
      <c r="I572" s="27"/>
      <c r="J572" s="27"/>
      <c r="M572" s="191"/>
    </row>
    <row r="573">
      <c r="H573" s="27" t="s">
        <v>607</v>
      </c>
      <c r="I573" s="27"/>
      <c r="M573" s="191"/>
    </row>
    <row r="574">
      <c r="H574" s="27"/>
      <c r="I574" s="27"/>
      <c r="M574" s="191"/>
    </row>
    <row r="575">
      <c r="H575" s="27" t="s">
        <v>607</v>
      </c>
      <c r="I575" s="27"/>
      <c r="M575" s="191"/>
    </row>
    <row r="576">
      <c r="H576" s="27"/>
      <c r="I576" s="27"/>
      <c r="M576" s="191"/>
    </row>
    <row r="577">
      <c r="H577" s="27">
        <v>8.218</v>
      </c>
      <c r="I577" s="27"/>
      <c r="J577" s="27"/>
      <c r="M577" s="191"/>
    </row>
    <row r="578">
      <c r="H578" s="27"/>
      <c r="I578" s="27"/>
      <c r="M578" s="191"/>
    </row>
    <row r="579">
      <c r="H579" s="27"/>
      <c r="I579" s="27"/>
      <c r="M579" s="191"/>
    </row>
    <row r="580">
      <c r="H580" s="27"/>
      <c r="I580" s="27"/>
      <c r="M580" s="191"/>
    </row>
    <row r="581">
      <c r="H581" s="27"/>
      <c r="I581" s="27"/>
      <c r="J581" s="27"/>
      <c r="M581" s="191"/>
    </row>
    <row r="582">
      <c r="H582" s="27"/>
      <c r="I582" s="27"/>
      <c r="M582" s="191"/>
    </row>
    <row r="583">
      <c r="H583" s="27"/>
      <c r="I583" s="27"/>
      <c r="M583" s="191"/>
    </row>
    <row r="584">
      <c r="H584" s="27">
        <v>8.164</v>
      </c>
      <c r="I584" s="27"/>
      <c r="J584" s="27"/>
      <c r="M584" s="191"/>
    </row>
    <row r="585">
      <c r="H585" s="27"/>
      <c r="I585" s="27"/>
      <c r="M585" s="191"/>
    </row>
    <row r="586">
      <c r="H586" s="27"/>
      <c r="I586" s="27"/>
      <c r="M586" s="191"/>
    </row>
    <row r="587">
      <c r="H587" s="27"/>
      <c r="I587" s="27"/>
      <c r="M587" s="191"/>
    </row>
    <row r="588">
      <c r="H588" s="27"/>
      <c r="I588" s="27"/>
      <c r="J588" s="27"/>
      <c r="M588" s="191"/>
    </row>
    <row r="589">
      <c r="H589" s="27"/>
      <c r="I589" s="27"/>
      <c r="M589" s="191"/>
    </row>
    <row r="590">
      <c r="H590" s="27"/>
      <c r="I590" s="27"/>
      <c r="M590" s="191"/>
    </row>
    <row r="591">
      <c r="H591" s="27"/>
      <c r="I591" s="27"/>
      <c r="M591" s="191"/>
    </row>
    <row r="592">
      <c r="H592" s="27">
        <v>7.941</v>
      </c>
      <c r="I592" s="27"/>
      <c r="J592" s="27"/>
      <c r="M592" s="191"/>
    </row>
    <row r="593">
      <c r="M593" s="191"/>
    </row>
    <row r="594">
      <c r="M594" s="191"/>
    </row>
    <row r="595">
      <c r="H595" s="27"/>
      <c r="I595" s="27"/>
      <c r="J595" s="27"/>
      <c r="M595" s="191"/>
    </row>
    <row r="596">
      <c r="M596" s="191"/>
    </row>
    <row r="597">
      <c r="M597" s="191"/>
    </row>
    <row r="598">
      <c r="H598" s="27"/>
      <c r="I598" s="27"/>
      <c r="J598" s="27"/>
      <c r="M598" s="191"/>
    </row>
    <row r="599">
      <c r="M599" s="191"/>
    </row>
    <row r="600">
      <c r="M600" s="191"/>
    </row>
    <row r="601">
      <c r="H601" s="27">
        <v>8.049</v>
      </c>
      <c r="I601" s="27" t="s">
        <v>608</v>
      </c>
      <c r="J601" s="27"/>
      <c r="M601" s="191"/>
    </row>
    <row r="602">
      <c r="M602" s="191"/>
    </row>
    <row r="603">
      <c r="H603" s="27"/>
      <c r="I603" s="27"/>
      <c r="J603" s="27"/>
      <c r="M603" s="191"/>
    </row>
    <row r="604">
      <c r="H604" s="27">
        <v>7.938</v>
      </c>
      <c r="I604" s="27" t="s">
        <v>609</v>
      </c>
      <c r="J604" s="27"/>
      <c r="M604" s="191"/>
    </row>
    <row r="605">
      <c r="M605" s="191"/>
    </row>
    <row r="606">
      <c r="M606" s="191"/>
    </row>
    <row r="607">
      <c r="H607" s="27"/>
      <c r="I607" s="27"/>
      <c r="J607" s="27"/>
      <c r="M607" s="191"/>
    </row>
    <row r="608">
      <c r="M608" s="191"/>
    </row>
    <row r="609">
      <c r="H609" s="27">
        <v>7.884</v>
      </c>
      <c r="I609" s="27" t="s">
        <v>610</v>
      </c>
      <c r="J609" s="27"/>
      <c r="M609" s="191"/>
    </row>
    <row r="610">
      <c r="M610" s="191"/>
    </row>
    <row r="611">
      <c r="H611" s="27"/>
      <c r="I611" s="27"/>
      <c r="J611" s="27"/>
      <c r="M611" s="191"/>
    </row>
    <row r="612">
      <c r="M612" s="191"/>
    </row>
    <row r="613">
      <c r="H613" s="27">
        <v>7.978</v>
      </c>
      <c r="I613" s="27" t="s">
        <v>611</v>
      </c>
      <c r="J613" s="27"/>
      <c r="M613" s="191"/>
    </row>
    <row r="614">
      <c r="M614" s="191"/>
    </row>
    <row r="615">
      <c r="H615" s="27"/>
      <c r="I615" s="27"/>
      <c r="J615" s="27"/>
      <c r="M615" s="191"/>
    </row>
    <row r="616">
      <c r="M616" s="191"/>
    </row>
    <row r="617">
      <c r="H617" s="27">
        <v>8.029</v>
      </c>
      <c r="I617" s="27" t="s">
        <v>612</v>
      </c>
      <c r="J617" s="27"/>
      <c r="M617" s="191"/>
    </row>
    <row r="618">
      <c r="M618" s="191"/>
    </row>
    <row r="619">
      <c r="H619" s="27"/>
      <c r="I619" s="27"/>
      <c r="J619" s="27"/>
      <c r="M619" s="191"/>
    </row>
    <row r="620">
      <c r="M620" s="191"/>
    </row>
    <row r="621">
      <c r="H621" s="27">
        <v>7.961</v>
      </c>
      <c r="I621" s="27" t="s">
        <v>613</v>
      </c>
      <c r="J621" s="27"/>
      <c r="M621" s="191"/>
    </row>
    <row r="622">
      <c r="M622" s="191"/>
    </row>
    <row r="623">
      <c r="H623" s="27"/>
      <c r="I623" s="27"/>
      <c r="J623" s="27"/>
      <c r="M623" s="191"/>
    </row>
    <row r="624">
      <c r="M624" s="191"/>
    </row>
    <row r="625">
      <c r="H625" s="27">
        <v>8.088</v>
      </c>
      <c r="I625" s="27" t="s">
        <v>614</v>
      </c>
      <c r="J625" s="27"/>
      <c r="M625" s="191"/>
    </row>
    <row r="626">
      <c r="M626" s="191"/>
    </row>
    <row r="627">
      <c r="H627" s="27"/>
      <c r="I627" s="27"/>
      <c r="J627" s="27"/>
      <c r="M627" s="191"/>
    </row>
    <row r="628">
      <c r="M628" s="191"/>
    </row>
    <row r="629">
      <c r="H629" s="27">
        <v>8.073</v>
      </c>
      <c r="I629" s="27" t="s">
        <v>615</v>
      </c>
      <c r="J629" s="27"/>
      <c r="M629" s="191"/>
    </row>
    <row r="630">
      <c r="M630" s="191"/>
    </row>
    <row r="631">
      <c r="H631" s="27"/>
      <c r="I631" s="27"/>
      <c r="J631" s="27"/>
      <c r="M631" s="191"/>
    </row>
    <row r="632">
      <c r="M632" s="191"/>
    </row>
    <row r="633">
      <c r="H633" s="27">
        <v>8.263</v>
      </c>
      <c r="I633" s="27" t="s">
        <v>616</v>
      </c>
      <c r="J633" s="27"/>
      <c r="M633" s="191"/>
    </row>
    <row r="634">
      <c r="M634" s="191"/>
    </row>
    <row r="635">
      <c r="H635" s="27"/>
      <c r="I635" s="27"/>
      <c r="J635" s="27"/>
      <c r="M635" s="191"/>
    </row>
    <row r="636">
      <c r="M636" s="191"/>
    </row>
    <row r="637">
      <c r="H637" s="27">
        <v>8.064</v>
      </c>
      <c r="I637" s="27" t="s">
        <v>617</v>
      </c>
      <c r="J637" s="27"/>
      <c r="M637" s="191"/>
    </row>
    <row r="638">
      <c r="M638" s="191"/>
    </row>
    <row r="639">
      <c r="H639" s="27"/>
      <c r="I639" s="27"/>
      <c r="J639" s="27"/>
      <c r="M639" s="191"/>
    </row>
    <row r="640">
      <c r="M640" s="191"/>
    </row>
    <row r="641">
      <c r="H641" s="27">
        <v>7.901</v>
      </c>
      <c r="I641" s="27" t="s">
        <v>618</v>
      </c>
      <c r="J641" s="27"/>
      <c r="M641" s="191"/>
    </row>
    <row r="642">
      <c r="M642" s="191"/>
    </row>
    <row r="643">
      <c r="H643" s="27"/>
      <c r="I643" s="27"/>
      <c r="J643" s="27"/>
      <c r="M643" s="191"/>
    </row>
    <row r="644">
      <c r="M644" s="191"/>
    </row>
    <row r="645">
      <c r="H645" s="27">
        <v>7.951</v>
      </c>
      <c r="I645" s="27" t="s">
        <v>619</v>
      </c>
      <c r="J645" s="27"/>
      <c r="M645" s="191"/>
    </row>
    <row r="646">
      <c r="M646" s="191"/>
    </row>
    <row r="647">
      <c r="H647" s="27"/>
      <c r="I647" s="27"/>
      <c r="J647" s="27"/>
      <c r="M647" s="191"/>
    </row>
    <row r="648">
      <c r="M648" s="191"/>
    </row>
    <row r="649">
      <c r="H649" s="27">
        <v>8.072</v>
      </c>
      <c r="I649" s="27" t="s">
        <v>620</v>
      </c>
      <c r="J649" s="27"/>
      <c r="M649" s="191"/>
    </row>
    <row r="650">
      <c r="M650" s="191"/>
    </row>
    <row r="651">
      <c r="M651" s="191"/>
    </row>
    <row r="652">
      <c r="H652" s="27"/>
      <c r="I652" s="27"/>
      <c r="J652" s="27"/>
      <c r="M652" s="191"/>
    </row>
    <row r="653">
      <c r="M653" s="191"/>
    </row>
    <row r="654">
      <c r="H654" s="27">
        <v>8.225</v>
      </c>
      <c r="I654" s="27" t="s">
        <v>621</v>
      </c>
      <c r="J654" s="27" t="s">
        <v>622</v>
      </c>
      <c r="M654" s="191"/>
    </row>
    <row r="655">
      <c r="M655" s="191"/>
    </row>
    <row r="656">
      <c r="M656" s="191"/>
    </row>
    <row r="657">
      <c r="H657" s="27"/>
      <c r="I657" s="27"/>
      <c r="J657" s="27"/>
      <c r="M657" s="191"/>
    </row>
    <row r="658">
      <c r="M658" s="191"/>
    </row>
    <row r="659">
      <c r="H659" s="27">
        <v>7.903</v>
      </c>
      <c r="I659" s="27" t="s">
        <v>623</v>
      </c>
      <c r="J659" s="27"/>
      <c r="M659" s="191"/>
    </row>
    <row r="660">
      <c r="M660" s="191"/>
    </row>
    <row r="661">
      <c r="H661" s="27"/>
      <c r="I661" s="27"/>
      <c r="J661" s="27"/>
      <c r="M661" s="191"/>
    </row>
    <row r="662">
      <c r="M662" s="191"/>
    </row>
    <row r="663">
      <c r="H663" s="27">
        <v>8.016</v>
      </c>
      <c r="I663" s="27" t="s">
        <v>624</v>
      </c>
      <c r="J663" s="27"/>
      <c r="M663" s="191"/>
    </row>
    <row r="664">
      <c r="M664" s="191"/>
    </row>
    <row r="665">
      <c r="H665" s="27"/>
      <c r="I665" s="27"/>
      <c r="J665" s="27"/>
      <c r="M665" s="191"/>
    </row>
    <row r="666">
      <c r="M666" s="191"/>
    </row>
    <row r="667">
      <c r="H667" s="27">
        <v>8.084</v>
      </c>
      <c r="I667" s="27" t="s">
        <v>625</v>
      </c>
      <c r="J667" s="27"/>
      <c r="M667" s="191"/>
    </row>
    <row r="668">
      <c r="M668" s="191"/>
    </row>
    <row r="669">
      <c r="M669" s="191"/>
    </row>
    <row r="670">
      <c r="H670" s="27"/>
      <c r="I670" s="27"/>
      <c r="J670" s="27"/>
      <c r="M670" s="191"/>
    </row>
    <row r="671">
      <c r="M671" s="191"/>
    </row>
    <row r="672">
      <c r="H672" s="27">
        <v>7.947</v>
      </c>
      <c r="I672" s="27" t="s">
        <v>626</v>
      </c>
      <c r="J672" s="27"/>
      <c r="M672" s="191"/>
    </row>
    <row r="673">
      <c r="M673" s="191"/>
    </row>
    <row r="674">
      <c r="H674" s="27"/>
      <c r="I674" s="27"/>
      <c r="J674" s="27"/>
      <c r="M674" s="191"/>
    </row>
    <row r="675">
      <c r="M675" s="191"/>
    </row>
    <row r="676">
      <c r="M676" s="191"/>
    </row>
    <row r="677">
      <c r="H677" s="27">
        <v>7.849</v>
      </c>
      <c r="I677" s="27" t="s">
        <v>627</v>
      </c>
      <c r="J677" s="27"/>
      <c r="M677" s="191"/>
    </row>
    <row r="678">
      <c r="M678" s="191"/>
    </row>
    <row r="679">
      <c r="H679" s="27">
        <v>7.916</v>
      </c>
      <c r="I679" s="27" t="s">
        <v>628</v>
      </c>
      <c r="J679" s="27"/>
      <c r="M679" s="191"/>
    </row>
    <row r="680">
      <c r="M680" s="191"/>
    </row>
    <row r="681">
      <c r="H681" s="27">
        <v>7.923</v>
      </c>
      <c r="I681" s="27" t="s">
        <v>629</v>
      </c>
      <c r="J681" s="27"/>
      <c r="M681" s="191"/>
    </row>
    <row r="682">
      <c r="M682" s="191"/>
    </row>
    <row r="683">
      <c r="H683" s="27">
        <v>7.943</v>
      </c>
      <c r="I683" s="27" t="s">
        <v>630</v>
      </c>
      <c r="J683" s="27"/>
      <c r="M683" s="191"/>
    </row>
    <row r="684">
      <c r="M684" s="191"/>
    </row>
    <row r="685">
      <c r="H685" s="27">
        <v>135.221</v>
      </c>
      <c r="I685" s="27" t="s">
        <v>631</v>
      </c>
      <c r="J685" s="27"/>
      <c r="M685" s="191"/>
    </row>
    <row r="686">
      <c r="M686" s="191"/>
    </row>
    <row r="687">
      <c r="H687" s="27">
        <v>8.133</v>
      </c>
      <c r="I687" s="27" t="s">
        <v>632</v>
      </c>
      <c r="J687" s="27"/>
      <c r="M687" s="191"/>
    </row>
    <row r="688">
      <c r="M688" s="191"/>
    </row>
    <row r="689">
      <c r="H689" s="27">
        <v>7.931</v>
      </c>
      <c r="I689" s="27" t="s">
        <v>633</v>
      </c>
      <c r="J689" s="27"/>
      <c r="M689" s="191"/>
    </row>
    <row r="690">
      <c r="M690" s="191"/>
    </row>
    <row r="691">
      <c r="H691" s="27">
        <v>7.955</v>
      </c>
      <c r="I691" s="27" t="s">
        <v>634</v>
      </c>
      <c r="J691" s="27"/>
      <c r="M691" s="191"/>
    </row>
    <row r="692">
      <c r="M692" s="191"/>
    </row>
    <row r="693">
      <c r="H693" s="27">
        <v>8.669</v>
      </c>
      <c r="I693" s="27" t="s">
        <v>635</v>
      </c>
      <c r="J693" s="27"/>
      <c r="M693" s="191"/>
    </row>
    <row r="694">
      <c r="M694" s="191"/>
    </row>
    <row r="695">
      <c r="H695" s="27">
        <v>7.901</v>
      </c>
      <c r="I695" s="27" t="s">
        <v>636</v>
      </c>
      <c r="J695" s="27"/>
      <c r="M695" s="191"/>
    </row>
    <row r="696">
      <c r="M696" s="191"/>
    </row>
    <row r="697">
      <c r="H697" s="27">
        <v>8.005</v>
      </c>
      <c r="I697" s="27" t="s">
        <v>637</v>
      </c>
      <c r="J697" s="27"/>
      <c r="M697" s="191"/>
    </row>
    <row r="698">
      <c r="M698" s="191"/>
    </row>
    <row r="699">
      <c r="H699" s="27">
        <v>7.964</v>
      </c>
      <c r="I699" s="27" t="s">
        <v>638</v>
      </c>
      <c r="J699" s="27"/>
      <c r="M699" s="191"/>
    </row>
    <row r="700">
      <c r="M700" s="191"/>
    </row>
    <row r="701">
      <c r="H701" s="27">
        <v>8.004</v>
      </c>
      <c r="I701" s="27" t="s">
        <v>639</v>
      </c>
      <c r="J701" s="27"/>
      <c r="M701" s="191"/>
    </row>
    <row r="702">
      <c r="M702" s="191"/>
    </row>
    <row r="703">
      <c r="H703" s="27">
        <v>8.125</v>
      </c>
      <c r="I703" s="27" t="s">
        <v>640</v>
      </c>
      <c r="J703" s="27"/>
      <c r="M703" s="191"/>
    </row>
    <row r="704">
      <c r="M704" s="191"/>
    </row>
    <row r="705">
      <c r="H705" s="27">
        <v>8.076</v>
      </c>
      <c r="I705" s="27" t="s">
        <v>641</v>
      </c>
      <c r="J705" s="27"/>
      <c r="M705" s="191"/>
    </row>
    <row r="706">
      <c r="M706" s="191"/>
    </row>
    <row r="707">
      <c r="H707" s="27">
        <v>8.0</v>
      </c>
      <c r="I707" s="27" t="s">
        <v>642</v>
      </c>
      <c r="J707" s="27"/>
      <c r="M707" s="191"/>
    </row>
    <row r="708">
      <c r="M708" s="191"/>
    </row>
    <row r="709">
      <c r="H709" s="27">
        <v>8.003</v>
      </c>
      <c r="I709" s="27" t="s">
        <v>643</v>
      </c>
      <c r="J709" s="27"/>
      <c r="M709" s="191"/>
    </row>
    <row r="710">
      <c r="M710" s="191"/>
    </row>
    <row r="711">
      <c r="H711" s="27">
        <v>7.974</v>
      </c>
      <c r="I711" s="27" t="s">
        <v>644</v>
      </c>
      <c r="J711" s="27"/>
      <c r="M711" s="191"/>
    </row>
    <row r="712">
      <c r="M712" s="191"/>
    </row>
    <row r="713">
      <c r="H713" s="27">
        <v>8.034</v>
      </c>
      <c r="I713" s="27" t="s">
        <v>645</v>
      </c>
      <c r="J713" s="27"/>
      <c r="M713" s="191"/>
    </row>
    <row r="714">
      <c r="M714" s="191"/>
    </row>
    <row r="715">
      <c r="H715" s="27">
        <v>7.95</v>
      </c>
      <c r="I715" s="27" t="s">
        <v>646</v>
      </c>
      <c r="J715" s="27"/>
      <c r="M715" s="191"/>
    </row>
    <row r="716">
      <c r="M716" s="191"/>
    </row>
    <row r="717">
      <c r="H717" s="27">
        <v>7.962</v>
      </c>
      <c r="I717" s="27" t="s">
        <v>647</v>
      </c>
      <c r="J717" s="27"/>
      <c r="M717" s="191"/>
    </row>
    <row r="718">
      <c r="M718" s="191"/>
    </row>
    <row r="719">
      <c r="H719" s="27">
        <v>7.98</v>
      </c>
      <c r="I719" s="27" t="s">
        <v>648</v>
      </c>
      <c r="J719" s="27"/>
      <c r="M719" s="191"/>
    </row>
    <row r="720">
      <c r="M720" s="191"/>
    </row>
    <row r="721">
      <c r="H721" s="27">
        <v>8.123</v>
      </c>
      <c r="I721" s="27" t="s">
        <v>649</v>
      </c>
      <c r="J721" s="27"/>
      <c r="M721" s="191"/>
    </row>
    <row r="722">
      <c r="M722" s="191"/>
    </row>
    <row r="723">
      <c r="H723" s="27">
        <v>7.949</v>
      </c>
      <c r="I723" s="27" t="s">
        <v>650</v>
      </c>
      <c r="J723" s="27"/>
      <c r="M723" s="191"/>
    </row>
    <row r="724">
      <c r="M724" s="191"/>
    </row>
    <row r="725">
      <c r="H725" s="27">
        <v>8.013</v>
      </c>
      <c r="I725" s="27" t="s">
        <v>651</v>
      </c>
      <c r="J725" s="27"/>
      <c r="M725" s="191"/>
    </row>
    <row r="726">
      <c r="M726" s="191"/>
    </row>
    <row r="727">
      <c r="H727" s="27">
        <v>7.968</v>
      </c>
      <c r="I727" s="27" t="s">
        <v>652</v>
      </c>
      <c r="J727" s="27"/>
      <c r="M727" s="191"/>
    </row>
    <row r="728">
      <c r="M728" s="191"/>
    </row>
    <row r="729">
      <c r="H729" s="27">
        <v>8.018</v>
      </c>
      <c r="I729" s="27" t="s">
        <v>653</v>
      </c>
      <c r="J729" s="27"/>
      <c r="M729" s="191"/>
    </row>
    <row r="730">
      <c r="M730" s="191"/>
    </row>
    <row r="731">
      <c r="H731" s="27">
        <v>8.157</v>
      </c>
      <c r="I731" s="27" t="s">
        <v>654</v>
      </c>
      <c r="J731" s="27"/>
      <c r="M731" s="191"/>
    </row>
    <row r="732">
      <c r="M732" s="191"/>
    </row>
    <row r="733">
      <c r="H733" s="27">
        <v>7.963</v>
      </c>
      <c r="I733" s="27" t="s">
        <v>655</v>
      </c>
      <c r="J733" s="27"/>
      <c r="M733" s="191"/>
    </row>
    <row r="734">
      <c r="M734" s="191"/>
    </row>
    <row r="735">
      <c r="H735" s="27">
        <v>7.927</v>
      </c>
      <c r="I735" s="27"/>
      <c r="J735" s="27"/>
      <c r="M735" s="191"/>
    </row>
    <row r="736">
      <c r="M736" s="191"/>
    </row>
    <row r="737">
      <c r="M737" s="191"/>
    </row>
    <row r="738">
      <c r="M738" s="191"/>
    </row>
    <row r="739">
      <c r="M739" s="191"/>
    </row>
    <row r="740">
      <c r="M740" s="191"/>
    </row>
    <row r="741">
      <c r="M741" s="191"/>
    </row>
    <row r="742">
      <c r="M742" s="191"/>
    </row>
    <row r="743">
      <c r="M743" s="191"/>
    </row>
    <row r="744">
      <c r="M744" s="191"/>
    </row>
    <row r="745">
      <c r="M745" s="191"/>
    </row>
    <row r="746">
      <c r="M746" s="191"/>
    </row>
    <row r="747">
      <c r="M747" s="191"/>
    </row>
    <row r="748">
      <c r="M748" s="191"/>
    </row>
    <row r="749">
      <c r="M749" s="191"/>
    </row>
    <row r="750">
      <c r="M750" s="191"/>
    </row>
    <row r="751">
      <c r="M751" s="191"/>
    </row>
    <row r="752">
      <c r="M752" s="191"/>
    </row>
    <row r="753">
      <c r="M753" s="191"/>
    </row>
    <row r="754">
      <c r="M754" s="191"/>
    </row>
    <row r="755">
      <c r="M755" s="191"/>
    </row>
    <row r="756">
      <c r="M756" s="191"/>
    </row>
    <row r="757">
      <c r="M757" s="191"/>
    </row>
    <row r="758">
      <c r="M758" s="191"/>
    </row>
    <row r="759">
      <c r="M759" s="191"/>
    </row>
    <row r="760">
      <c r="M760" s="191"/>
    </row>
    <row r="761">
      <c r="M761" s="191"/>
    </row>
    <row r="762">
      <c r="M762" s="191"/>
    </row>
    <row r="763">
      <c r="M763" s="191"/>
    </row>
    <row r="764">
      <c r="M764" s="191"/>
    </row>
    <row r="765">
      <c r="M765" s="191"/>
    </row>
    <row r="766">
      <c r="M766" s="191"/>
    </row>
    <row r="767">
      <c r="M767" s="191"/>
    </row>
    <row r="768">
      <c r="M768" s="191"/>
    </row>
    <row r="769">
      <c r="M769" s="191"/>
    </row>
    <row r="770">
      <c r="M770" s="191"/>
    </row>
    <row r="771">
      <c r="M771" s="191"/>
    </row>
    <row r="772">
      <c r="M772" s="191"/>
    </row>
    <row r="773">
      <c r="M773" s="191"/>
    </row>
    <row r="774">
      <c r="M774" s="191"/>
    </row>
    <row r="775">
      <c r="M775" s="191"/>
    </row>
    <row r="776">
      <c r="M776" s="191"/>
    </row>
    <row r="777">
      <c r="M777" s="191"/>
    </row>
    <row r="778">
      <c r="M778" s="191"/>
    </row>
    <row r="779">
      <c r="M779" s="191"/>
    </row>
    <row r="780">
      <c r="M780" s="191"/>
    </row>
    <row r="781">
      <c r="M781" s="191"/>
    </row>
    <row r="782">
      <c r="M782" s="191"/>
    </row>
    <row r="783">
      <c r="M783" s="191"/>
    </row>
    <row r="784">
      <c r="M784" s="191"/>
    </row>
    <row r="785">
      <c r="M785" s="191"/>
    </row>
    <row r="786">
      <c r="M786" s="191"/>
    </row>
    <row r="787">
      <c r="M787" s="191"/>
    </row>
    <row r="788">
      <c r="M788" s="191"/>
    </row>
    <row r="789">
      <c r="M789" s="191"/>
    </row>
    <row r="790">
      <c r="M790" s="191"/>
    </row>
    <row r="791">
      <c r="M791" s="191"/>
    </row>
    <row r="792">
      <c r="M792" s="191"/>
    </row>
    <row r="793">
      <c r="M793" s="191"/>
    </row>
    <row r="794">
      <c r="M794" s="191"/>
    </row>
    <row r="795">
      <c r="M795" s="191"/>
    </row>
    <row r="796">
      <c r="M796" s="191"/>
    </row>
    <row r="797">
      <c r="M797" s="191"/>
    </row>
    <row r="798">
      <c r="M798" s="191"/>
    </row>
    <row r="799">
      <c r="M799" s="191"/>
    </row>
    <row r="800">
      <c r="M800" s="191"/>
    </row>
    <row r="801">
      <c r="M801" s="191"/>
    </row>
    <row r="802">
      <c r="M802" s="191"/>
    </row>
    <row r="803">
      <c r="M803" s="191"/>
    </row>
    <row r="804">
      <c r="M804" s="191"/>
    </row>
    <row r="805">
      <c r="M805" s="191"/>
    </row>
    <row r="806">
      <c r="M806" s="191"/>
    </row>
    <row r="807">
      <c r="M807" s="191"/>
    </row>
    <row r="808">
      <c r="M808" s="191"/>
    </row>
    <row r="809">
      <c r="M809" s="191"/>
    </row>
    <row r="810">
      <c r="M810" s="191"/>
    </row>
    <row r="811">
      <c r="M811" s="191"/>
    </row>
    <row r="812">
      <c r="M812" s="191"/>
    </row>
    <row r="813">
      <c r="M813" s="191"/>
    </row>
    <row r="814">
      <c r="M814" s="191"/>
    </row>
    <row r="815">
      <c r="M815" s="191"/>
    </row>
    <row r="816">
      <c r="M816" s="191"/>
    </row>
    <row r="817">
      <c r="M817" s="191"/>
    </row>
    <row r="818">
      <c r="M818" s="191"/>
    </row>
    <row r="819">
      <c r="M819" s="191"/>
    </row>
    <row r="820">
      <c r="M820" s="191"/>
    </row>
    <row r="821">
      <c r="M821" s="191"/>
    </row>
    <row r="822">
      <c r="M822" s="191"/>
    </row>
    <row r="823">
      <c r="M823" s="191"/>
    </row>
    <row r="824">
      <c r="M824" s="191"/>
    </row>
    <row r="825">
      <c r="M825" s="191"/>
    </row>
    <row r="826">
      <c r="M826" s="191"/>
    </row>
    <row r="827">
      <c r="M827" s="191"/>
    </row>
    <row r="828">
      <c r="M828" s="191"/>
    </row>
    <row r="829">
      <c r="M829" s="191"/>
    </row>
    <row r="830">
      <c r="M830" s="191"/>
    </row>
    <row r="831">
      <c r="M831" s="191"/>
    </row>
    <row r="832">
      <c r="M832" s="191"/>
    </row>
    <row r="833">
      <c r="M833" s="191"/>
    </row>
    <row r="834">
      <c r="M834" s="191"/>
    </row>
    <row r="835">
      <c r="M835" s="191"/>
    </row>
    <row r="836">
      <c r="M836" s="191"/>
    </row>
    <row r="837">
      <c r="M837" s="191"/>
    </row>
    <row r="838">
      <c r="M838" s="191"/>
    </row>
    <row r="839">
      <c r="M839" s="191"/>
    </row>
    <row r="840">
      <c r="M840" s="191"/>
    </row>
    <row r="841">
      <c r="M841" s="191"/>
    </row>
    <row r="842">
      <c r="M842" s="191"/>
    </row>
    <row r="843">
      <c r="M843" s="191"/>
    </row>
    <row r="844">
      <c r="M844" s="191"/>
    </row>
    <row r="845">
      <c r="M845" s="191"/>
    </row>
    <row r="846">
      <c r="M846" s="191"/>
    </row>
    <row r="847">
      <c r="M847" s="191"/>
    </row>
    <row r="848">
      <c r="M848" s="191"/>
    </row>
    <row r="849">
      <c r="M849" s="191"/>
    </row>
    <row r="850">
      <c r="M850" s="191"/>
    </row>
    <row r="851">
      <c r="M851" s="191"/>
    </row>
    <row r="852">
      <c r="M852" s="191"/>
    </row>
    <row r="853">
      <c r="M853" s="191"/>
    </row>
    <row r="854">
      <c r="M854" s="191"/>
    </row>
    <row r="855">
      <c r="M855" s="191"/>
    </row>
    <row r="856">
      <c r="M856" s="191"/>
    </row>
    <row r="857">
      <c r="M857" s="191"/>
    </row>
    <row r="858">
      <c r="M858" s="191"/>
    </row>
    <row r="859">
      <c r="M859" s="191"/>
    </row>
    <row r="860">
      <c r="M860" s="191"/>
    </row>
    <row r="861">
      <c r="M861" s="191"/>
    </row>
    <row r="862">
      <c r="M862" s="191"/>
    </row>
    <row r="863">
      <c r="M863" s="191"/>
    </row>
    <row r="864">
      <c r="M864" s="191"/>
    </row>
    <row r="865">
      <c r="M865" s="191"/>
    </row>
    <row r="866">
      <c r="M866" s="191"/>
    </row>
    <row r="867">
      <c r="M867" s="191"/>
    </row>
    <row r="868">
      <c r="M868" s="191"/>
    </row>
    <row r="869">
      <c r="M869" s="191"/>
    </row>
    <row r="870">
      <c r="M870" s="191"/>
    </row>
    <row r="871">
      <c r="M871" s="191"/>
    </row>
    <row r="872">
      <c r="M872" s="191"/>
    </row>
    <row r="873">
      <c r="M873" s="191"/>
    </row>
    <row r="874">
      <c r="M874" s="191"/>
    </row>
    <row r="875">
      <c r="M875" s="191"/>
    </row>
    <row r="876">
      <c r="M876" s="191"/>
    </row>
    <row r="877">
      <c r="M877" s="191"/>
    </row>
    <row r="878">
      <c r="M878" s="191"/>
    </row>
    <row r="879">
      <c r="M879" s="191"/>
    </row>
    <row r="880">
      <c r="M880" s="191"/>
    </row>
    <row r="881">
      <c r="M881" s="191"/>
    </row>
    <row r="882">
      <c r="M882" s="191"/>
    </row>
    <row r="883">
      <c r="M883" s="191"/>
    </row>
    <row r="884">
      <c r="M884" s="191"/>
    </row>
    <row r="885">
      <c r="M885" s="191"/>
    </row>
    <row r="886">
      <c r="M886" s="191"/>
    </row>
    <row r="887">
      <c r="M887" s="191"/>
    </row>
    <row r="888">
      <c r="M888" s="191"/>
    </row>
    <row r="889">
      <c r="M889" s="191"/>
    </row>
    <row r="890">
      <c r="M890" s="191"/>
    </row>
    <row r="891">
      <c r="M891" s="191"/>
    </row>
    <row r="892">
      <c r="M892" s="191"/>
    </row>
    <row r="893">
      <c r="M893" s="191"/>
    </row>
    <row r="894">
      <c r="M894" s="191"/>
    </row>
    <row r="895">
      <c r="M895" s="191"/>
    </row>
    <row r="896">
      <c r="M896" s="191"/>
    </row>
    <row r="897">
      <c r="M897" s="191"/>
    </row>
    <row r="898">
      <c r="M898" s="191"/>
    </row>
    <row r="899">
      <c r="M899" s="191"/>
    </row>
    <row r="900">
      <c r="M900" s="191"/>
    </row>
    <row r="901">
      <c r="M901" s="191"/>
    </row>
    <row r="902">
      <c r="M902" s="191"/>
    </row>
    <row r="903">
      <c r="M903" s="191"/>
    </row>
    <row r="904">
      <c r="M904" s="191"/>
    </row>
    <row r="905">
      <c r="M905" s="191"/>
    </row>
    <row r="906">
      <c r="M906" s="191"/>
    </row>
    <row r="907">
      <c r="M907" s="191"/>
    </row>
    <row r="908">
      <c r="M908" s="191"/>
    </row>
    <row r="909">
      <c r="M909" s="191"/>
    </row>
    <row r="910">
      <c r="M910" s="191"/>
    </row>
    <row r="911">
      <c r="M911" s="191"/>
    </row>
    <row r="912">
      <c r="M912" s="191"/>
    </row>
    <row r="913">
      <c r="M913" s="191"/>
    </row>
    <row r="914">
      <c r="M914" s="191"/>
    </row>
    <row r="915">
      <c r="M915" s="191"/>
    </row>
    <row r="916">
      <c r="M916" s="191"/>
    </row>
    <row r="917">
      <c r="M917" s="191"/>
    </row>
    <row r="918">
      <c r="M918" s="191"/>
    </row>
    <row r="919">
      <c r="M919" s="191"/>
    </row>
    <row r="920">
      <c r="M920" s="191"/>
    </row>
    <row r="921">
      <c r="M921" s="191"/>
    </row>
    <row r="922">
      <c r="M922" s="191"/>
    </row>
    <row r="923">
      <c r="M923" s="191"/>
    </row>
    <row r="924">
      <c r="M924" s="191"/>
    </row>
    <row r="925">
      <c r="M925" s="191"/>
    </row>
    <row r="926">
      <c r="M926" s="191"/>
    </row>
    <row r="927">
      <c r="M927" s="191"/>
    </row>
    <row r="928">
      <c r="M928" s="191"/>
    </row>
    <row r="929">
      <c r="M929" s="191"/>
    </row>
    <row r="930">
      <c r="M930" s="191"/>
    </row>
    <row r="931">
      <c r="M931" s="191"/>
    </row>
    <row r="932">
      <c r="M932" s="191"/>
    </row>
    <row r="933">
      <c r="M933" s="191"/>
    </row>
    <row r="934">
      <c r="M934" s="191"/>
    </row>
    <row r="935">
      <c r="M935" s="191"/>
    </row>
    <row r="936">
      <c r="M936" s="191"/>
    </row>
    <row r="937">
      <c r="M937" s="191"/>
    </row>
    <row r="938">
      <c r="M938" s="191"/>
    </row>
    <row r="939">
      <c r="M939" s="191"/>
    </row>
    <row r="940">
      <c r="M940" s="191"/>
    </row>
    <row r="941">
      <c r="M941" s="191"/>
    </row>
    <row r="942">
      <c r="M942" s="191"/>
    </row>
    <row r="943">
      <c r="M943" s="191"/>
    </row>
    <row r="944">
      <c r="M944" s="191"/>
    </row>
    <row r="945">
      <c r="M945" s="191"/>
    </row>
    <row r="946">
      <c r="M946" s="191"/>
    </row>
    <row r="947">
      <c r="M947" s="191"/>
    </row>
    <row r="948">
      <c r="M948" s="191"/>
    </row>
    <row r="949">
      <c r="M949" s="191"/>
    </row>
    <row r="950">
      <c r="M950" s="191"/>
    </row>
    <row r="951">
      <c r="M951" s="191"/>
    </row>
    <row r="952">
      <c r="M952" s="191"/>
    </row>
    <row r="953">
      <c r="M953" s="191"/>
    </row>
    <row r="954">
      <c r="M954" s="191"/>
    </row>
    <row r="955">
      <c r="M955" s="191"/>
    </row>
    <row r="956">
      <c r="M956" s="191"/>
    </row>
    <row r="957">
      <c r="M957" s="191"/>
    </row>
    <row r="958">
      <c r="M958" s="191"/>
    </row>
    <row r="959">
      <c r="M959" s="191"/>
    </row>
    <row r="960">
      <c r="M960" s="191"/>
    </row>
    <row r="961">
      <c r="M961" s="191"/>
    </row>
    <row r="962">
      <c r="M962" s="191"/>
    </row>
    <row r="963">
      <c r="M963" s="191"/>
    </row>
    <row r="964">
      <c r="M964" s="191"/>
    </row>
  </sheetData>
  <mergeCells count="84">
    <mergeCell ref="S150:T150"/>
    <mergeCell ref="Q150:R150"/>
    <mergeCell ref="O151:P151"/>
    <mergeCell ref="Q151:R151"/>
    <mergeCell ref="S151:T151"/>
    <mergeCell ref="I150:J150"/>
    <mergeCell ref="K150:L150"/>
    <mergeCell ref="O150:P150"/>
    <mergeCell ref="M150:N150"/>
    <mergeCell ref="I151:J151"/>
    <mergeCell ref="M151:N151"/>
    <mergeCell ref="K151:L151"/>
    <mergeCell ref="N5:R5"/>
    <mergeCell ref="T5:X5"/>
    <mergeCell ref="A5:E5"/>
    <mergeCell ref="G5:K5"/>
    <mergeCell ref="C129:D129"/>
    <mergeCell ref="E130:F130"/>
    <mergeCell ref="C130:D130"/>
    <mergeCell ref="G130:H130"/>
    <mergeCell ref="I130:J130"/>
    <mergeCell ref="I129:J129"/>
    <mergeCell ref="G129:H129"/>
    <mergeCell ref="E129:F129"/>
    <mergeCell ref="K130:L130"/>
    <mergeCell ref="K129:L129"/>
    <mergeCell ref="K108:L108"/>
    <mergeCell ref="K109:L109"/>
    <mergeCell ref="S129:T129"/>
    <mergeCell ref="S130:T130"/>
    <mergeCell ref="Q130:R130"/>
    <mergeCell ref="Q129:R129"/>
    <mergeCell ref="O130:P130"/>
    <mergeCell ref="O64:Q64"/>
    <mergeCell ref="L64:N64"/>
    <mergeCell ref="I78:K78"/>
    <mergeCell ref="I64:K64"/>
    <mergeCell ref="F78:H78"/>
    <mergeCell ref="F64:H64"/>
    <mergeCell ref="M130:N130"/>
    <mergeCell ref="M129:N129"/>
    <mergeCell ref="M108:N108"/>
    <mergeCell ref="M109:N109"/>
    <mergeCell ref="O108:P108"/>
    <mergeCell ref="O109:P109"/>
    <mergeCell ref="O129:P129"/>
    <mergeCell ref="G151:H151"/>
    <mergeCell ref="E151:F151"/>
    <mergeCell ref="E150:F150"/>
    <mergeCell ref="G162:H162"/>
    <mergeCell ref="K162:L162"/>
    <mergeCell ref="I162:J162"/>
    <mergeCell ref="G150:H150"/>
    <mergeCell ref="G161:H161"/>
    <mergeCell ref="I161:J161"/>
    <mergeCell ref="K161:L161"/>
    <mergeCell ref="O78:Q78"/>
    <mergeCell ref="L78:N78"/>
    <mergeCell ref="E109:F109"/>
    <mergeCell ref="C109:D109"/>
    <mergeCell ref="G109:H109"/>
    <mergeCell ref="G108:H108"/>
    <mergeCell ref="Q108:R108"/>
    <mergeCell ref="Q109:R109"/>
    <mergeCell ref="I109:J109"/>
    <mergeCell ref="I108:J108"/>
    <mergeCell ref="C108:D108"/>
    <mergeCell ref="E108:F108"/>
    <mergeCell ref="S108:T108"/>
    <mergeCell ref="S109:T109"/>
    <mergeCell ref="S161:T161"/>
    <mergeCell ref="S162:T162"/>
    <mergeCell ref="O162:P162"/>
    <mergeCell ref="Q162:R162"/>
    <mergeCell ref="C161:D161"/>
    <mergeCell ref="C151:D151"/>
    <mergeCell ref="C150:D150"/>
    <mergeCell ref="M162:N162"/>
    <mergeCell ref="O161:P161"/>
    <mergeCell ref="E162:F162"/>
    <mergeCell ref="E161:F161"/>
    <mergeCell ref="C162:D162"/>
    <mergeCell ref="Q161:R161"/>
    <mergeCell ref="M161:N161"/>
  </mergeCells>
  <conditionalFormatting sqref="A5 N5">
    <cfRule type="notContainsBlanks" dxfId="0" priority="1">
      <formula>LEN(TRIM(A5))&gt;0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A3" s="27" t="s">
        <v>656</v>
      </c>
    </row>
    <row r="5">
      <c r="A5" s="27"/>
      <c r="F5" s="27"/>
    </row>
    <row r="6">
      <c r="A6" s="27"/>
      <c r="F6" s="27"/>
    </row>
    <row r="7">
      <c r="A7" s="27" t="s">
        <v>657</v>
      </c>
      <c r="F7" s="27" t="s">
        <v>658</v>
      </c>
    </row>
    <row r="8">
      <c r="A8" s="27" t="s">
        <v>659</v>
      </c>
      <c r="F8" s="27" t="s">
        <v>660</v>
      </c>
    </row>
    <row r="9">
      <c r="A9" s="27"/>
      <c r="F9" s="27"/>
    </row>
    <row r="10">
      <c r="A10" s="27"/>
      <c r="F10" s="27"/>
    </row>
    <row r="11">
      <c r="A11" s="27"/>
      <c r="F11" s="27"/>
    </row>
    <row r="12">
      <c r="A12" s="27"/>
      <c r="F12" s="27"/>
    </row>
    <row r="13">
      <c r="A13" s="27"/>
      <c r="F13" s="27"/>
    </row>
    <row r="14">
      <c r="A14" s="27"/>
      <c r="F14" s="27"/>
    </row>
    <row r="15">
      <c r="A15" s="27"/>
    </row>
    <row r="17">
      <c r="A17" s="27"/>
      <c r="F17" s="27"/>
    </row>
    <row r="18">
      <c r="A18" s="27"/>
      <c r="F18" s="27"/>
    </row>
    <row r="20">
      <c r="A20" s="204"/>
      <c r="B20" s="204"/>
      <c r="C20" s="204"/>
      <c r="D20" s="76" t="s">
        <v>661</v>
      </c>
      <c r="F20" s="76" t="s">
        <v>662</v>
      </c>
    </row>
    <row r="21">
      <c r="A21" s="98" t="s">
        <v>663</v>
      </c>
      <c r="B21" s="98" t="s">
        <v>81</v>
      </c>
      <c r="C21" s="98" t="s">
        <v>92</v>
      </c>
      <c r="D21" s="98" t="s">
        <v>664</v>
      </c>
      <c r="E21" s="98" t="s">
        <v>665</v>
      </c>
      <c r="F21" s="98" t="s">
        <v>664</v>
      </c>
      <c r="G21" s="98" t="s">
        <v>665</v>
      </c>
    </row>
    <row r="22">
      <c r="A22" s="172">
        <v>1.0</v>
      </c>
      <c r="B22" s="172" t="s">
        <v>666</v>
      </c>
      <c r="C22" s="205">
        <v>10000.0</v>
      </c>
      <c r="D22" s="172">
        <v>27375.0</v>
      </c>
      <c r="E22" s="172">
        <v>27.0</v>
      </c>
      <c r="F22" s="172">
        <v>299438.0</v>
      </c>
      <c r="G22" s="172">
        <v>299.0</v>
      </c>
    </row>
    <row r="23">
      <c r="A23" s="172">
        <v>1.0</v>
      </c>
      <c r="B23" s="172" t="s">
        <v>667</v>
      </c>
      <c r="C23" s="205">
        <v>10000.0</v>
      </c>
      <c r="D23" s="172">
        <v>56337.0</v>
      </c>
      <c r="E23" s="172">
        <v>56.0</v>
      </c>
      <c r="F23" s="172">
        <v>565821.0</v>
      </c>
      <c r="G23" s="172">
        <v>565.0</v>
      </c>
    </row>
    <row r="24">
      <c r="A24" s="172">
        <v>1.0</v>
      </c>
      <c r="B24" s="172" t="s">
        <v>83</v>
      </c>
      <c r="C24" s="205">
        <v>1000.0</v>
      </c>
      <c r="D24" s="172">
        <v>5813.0</v>
      </c>
      <c r="E24" s="172">
        <v>5.0</v>
      </c>
      <c r="F24" s="172">
        <v>56985.0</v>
      </c>
      <c r="G24" s="172">
        <v>56.0</v>
      </c>
    </row>
    <row r="25">
      <c r="A25" s="172">
        <v>1.0</v>
      </c>
      <c r="B25" s="172" t="s">
        <v>84</v>
      </c>
      <c r="C25" s="205">
        <v>1000.0</v>
      </c>
      <c r="D25" s="172">
        <v>12311.0</v>
      </c>
      <c r="E25" s="172">
        <v>12.0</v>
      </c>
      <c r="F25" s="172">
        <v>113873.0</v>
      </c>
      <c r="G25" s="172">
        <v>113.0</v>
      </c>
    </row>
    <row r="26">
      <c r="A26" s="172">
        <v>1.0</v>
      </c>
      <c r="B26" s="172" t="s">
        <v>85</v>
      </c>
      <c r="C26" s="205">
        <v>1000.0</v>
      </c>
      <c r="D26" s="172">
        <v>16748.0</v>
      </c>
      <c r="E26" s="172">
        <v>16.0</v>
      </c>
      <c r="F26" s="172">
        <v>139156.0</v>
      </c>
      <c r="G26" s="172">
        <v>139.0</v>
      </c>
    </row>
    <row r="27">
      <c r="A27" s="172">
        <v>1.0</v>
      </c>
      <c r="B27" s="172" t="s">
        <v>86</v>
      </c>
      <c r="C27" s="205">
        <v>1000.0</v>
      </c>
      <c r="D27" s="172">
        <v>121677.0</v>
      </c>
      <c r="E27" s="172">
        <v>121.0</v>
      </c>
      <c r="F27" s="172">
        <v>673483.0</v>
      </c>
      <c r="G27" s="172">
        <v>673.0</v>
      </c>
    </row>
    <row r="28">
      <c r="A28" s="206">
        <v>2.0</v>
      </c>
      <c r="B28" s="206" t="s">
        <v>666</v>
      </c>
      <c r="C28" s="207">
        <v>10000.0</v>
      </c>
      <c r="D28" s="206">
        <v>30418.0</v>
      </c>
      <c r="E28" s="206">
        <v>30.0</v>
      </c>
      <c r="F28" s="206">
        <v>296761.0</v>
      </c>
      <c r="G28" s="206">
        <v>296.0</v>
      </c>
    </row>
    <row r="29">
      <c r="A29" s="206">
        <v>2.0</v>
      </c>
      <c r="B29" s="206" t="s">
        <v>667</v>
      </c>
      <c r="C29" s="207">
        <v>10000.0</v>
      </c>
      <c r="D29" s="206">
        <v>55888.0</v>
      </c>
      <c r="E29" s="206">
        <v>55.0</v>
      </c>
      <c r="F29" s="206">
        <v>574376.0</v>
      </c>
      <c r="G29" s="206">
        <v>574.0</v>
      </c>
    </row>
    <row r="30">
      <c r="A30" s="206">
        <v>2.0</v>
      </c>
      <c r="B30" s="206" t="s">
        <v>83</v>
      </c>
      <c r="C30" s="207">
        <v>1000.0</v>
      </c>
      <c r="D30" s="206">
        <v>6467.0</v>
      </c>
      <c r="E30" s="206">
        <v>6.0</v>
      </c>
      <c r="F30" s="206">
        <v>65414.0</v>
      </c>
      <c r="G30" s="206">
        <v>65.0</v>
      </c>
    </row>
    <row r="31">
      <c r="A31" s="206">
        <v>2.0</v>
      </c>
      <c r="B31" s="206" t="s">
        <v>84</v>
      </c>
      <c r="C31" s="207">
        <v>1000.0</v>
      </c>
      <c r="D31" s="206">
        <v>11790.0</v>
      </c>
      <c r="E31" s="206">
        <v>11.0</v>
      </c>
      <c r="F31" s="206">
        <v>114781.0</v>
      </c>
      <c r="G31" s="206">
        <v>114.0</v>
      </c>
    </row>
    <row r="32">
      <c r="A32" s="206">
        <v>2.0</v>
      </c>
      <c r="B32" s="206" t="s">
        <v>85</v>
      </c>
      <c r="C32" s="207">
        <v>1000.0</v>
      </c>
      <c r="D32" s="206">
        <v>17927.0</v>
      </c>
      <c r="E32" s="206">
        <v>17.0</v>
      </c>
      <c r="F32" s="206">
        <v>132170.0</v>
      </c>
      <c r="G32" s="206">
        <v>132.0</v>
      </c>
    </row>
    <row r="33">
      <c r="A33" s="206">
        <v>2.0</v>
      </c>
      <c r="B33" s="206" t="s">
        <v>86</v>
      </c>
      <c r="C33" s="207">
        <v>1000.0</v>
      </c>
      <c r="D33" s="206">
        <v>139794.0</v>
      </c>
      <c r="E33" s="206">
        <v>139.0</v>
      </c>
      <c r="F33" s="206">
        <v>728588.0</v>
      </c>
      <c r="G33" s="206">
        <v>728.0</v>
      </c>
    </row>
    <row r="34">
      <c r="A34" s="172">
        <v>3.0</v>
      </c>
      <c r="B34" s="172" t="s">
        <v>666</v>
      </c>
      <c r="C34" s="205">
        <v>10000.0</v>
      </c>
      <c r="D34" s="172">
        <v>30912.0</v>
      </c>
      <c r="E34" s="172">
        <v>30.0</v>
      </c>
      <c r="F34" s="172">
        <v>286664.0</v>
      </c>
      <c r="G34" s="172">
        <v>286.0</v>
      </c>
    </row>
    <row r="35">
      <c r="A35" s="172">
        <v>3.0</v>
      </c>
      <c r="B35" s="172" t="s">
        <v>667</v>
      </c>
      <c r="C35" s="205">
        <v>10000.0</v>
      </c>
      <c r="D35" s="172">
        <v>56139.0</v>
      </c>
      <c r="E35" s="172">
        <v>56.0</v>
      </c>
      <c r="F35" s="172">
        <v>577697.0</v>
      </c>
      <c r="G35" s="172">
        <v>577.0</v>
      </c>
    </row>
    <row r="36">
      <c r="A36" s="172">
        <v>3.0</v>
      </c>
      <c r="B36" s="172" t="s">
        <v>83</v>
      </c>
      <c r="C36" s="205">
        <v>1000.0</v>
      </c>
      <c r="D36" s="172">
        <v>6196.0</v>
      </c>
      <c r="E36" s="172">
        <v>6.0</v>
      </c>
      <c r="F36" s="172">
        <v>58223.0</v>
      </c>
      <c r="G36" s="172">
        <v>58.0</v>
      </c>
    </row>
    <row r="37">
      <c r="A37" s="172">
        <v>3.0</v>
      </c>
      <c r="B37" s="172" t="s">
        <v>84</v>
      </c>
      <c r="C37" s="205">
        <v>1000.0</v>
      </c>
      <c r="D37" s="172">
        <v>12562.0</v>
      </c>
      <c r="E37" s="172">
        <v>12.0</v>
      </c>
      <c r="F37" s="172">
        <v>112066.0</v>
      </c>
      <c r="G37" s="172">
        <v>112.0</v>
      </c>
    </row>
    <row r="38">
      <c r="A38" s="172">
        <v>3.0</v>
      </c>
      <c r="B38" s="172" t="s">
        <v>85</v>
      </c>
      <c r="C38" s="205">
        <v>1000.0</v>
      </c>
      <c r="D38" s="172">
        <v>16961.0</v>
      </c>
      <c r="E38" s="172">
        <v>16.0</v>
      </c>
      <c r="F38" s="172">
        <v>135539.0</v>
      </c>
      <c r="G38" s="172">
        <v>135.0</v>
      </c>
    </row>
    <row r="39">
      <c r="A39" s="172">
        <v>3.0</v>
      </c>
      <c r="B39" s="172" t="s">
        <v>86</v>
      </c>
      <c r="C39" s="205">
        <v>1000.0</v>
      </c>
      <c r="D39" s="172">
        <v>127512.0</v>
      </c>
      <c r="E39" s="172">
        <v>127.0</v>
      </c>
      <c r="F39" s="172">
        <v>607576.0</v>
      </c>
      <c r="G39" s="172">
        <v>607.0</v>
      </c>
    </row>
    <row r="40">
      <c r="A40" s="206">
        <v>4.0</v>
      </c>
      <c r="B40" s="206" t="s">
        <v>666</v>
      </c>
      <c r="C40" s="207">
        <v>10000.0</v>
      </c>
      <c r="D40" s="206">
        <v>26937.0</v>
      </c>
      <c r="E40" s="206">
        <v>26.0</v>
      </c>
      <c r="F40" s="206">
        <v>293895.0</v>
      </c>
      <c r="G40" s="206">
        <v>293.0</v>
      </c>
    </row>
    <row r="41">
      <c r="A41" s="206">
        <v>4.0</v>
      </c>
      <c r="B41" s="206" t="s">
        <v>667</v>
      </c>
      <c r="C41" s="207">
        <v>10000.0</v>
      </c>
      <c r="D41" s="206">
        <v>55733.0</v>
      </c>
      <c r="E41" s="206">
        <v>55.0</v>
      </c>
      <c r="F41" s="206">
        <v>570217.0</v>
      </c>
      <c r="G41" s="206">
        <v>570.0</v>
      </c>
    </row>
    <row r="42">
      <c r="A42" s="206">
        <v>4.0</v>
      </c>
      <c r="B42" s="206" t="s">
        <v>83</v>
      </c>
      <c r="C42" s="207">
        <v>1000.0</v>
      </c>
      <c r="D42" s="206">
        <v>6106.0</v>
      </c>
      <c r="E42" s="206">
        <v>6.0</v>
      </c>
      <c r="F42" s="206">
        <v>63938.0</v>
      </c>
      <c r="G42" s="206">
        <v>63.0</v>
      </c>
    </row>
    <row r="43">
      <c r="A43" s="206">
        <v>4.0</v>
      </c>
      <c r="B43" s="206" t="s">
        <v>84</v>
      </c>
      <c r="C43" s="207">
        <v>1000.0</v>
      </c>
      <c r="D43" s="206">
        <v>12004.0</v>
      </c>
      <c r="E43" s="206">
        <v>12.0</v>
      </c>
      <c r="F43" s="206">
        <v>116451.0</v>
      </c>
      <c r="G43" s="206">
        <v>116.0</v>
      </c>
    </row>
    <row r="44">
      <c r="A44" s="206">
        <v>4.0</v>
      </c>
      <c r="B44" s="206" t="s">
        <v>85</v>
      </c>
      <c r="C44" s="207">
        <v>1000.0</v>
      </c>
      <c r="D44" s="206">
        <v>18289.0</v>
      </c>
      <c r="E44" s="206">
        <v>18.0</v>
      </c>
      <c r="F44" s="206">
        <v>141800.0</v>
      </c>
      <c r="G44" s="206">
        <v>141.0</v>
      </c>
    </row>
    <row r="45">
      <c r="A45" s="206">
        <v>4.0</v>
      </c>
      <c r="B45" s="206" t="s">
        <v>86</v>
      </c>
      <c r="C45" s="207">
        <v>1000.0</v>
      </c>
      <c r="D45" s="206">
        <v>127780.0</v>
      </c>
      <c r="E45" s="206">
        <v>127.0</v>
      </c>
      <c r="F45" s="206">
        <v>622769.0</v>
      </c>
      <c r="G45" s="206">
        <v>622.0</v>
      </c>
    </row>
    <row r="48">
      <c r="A48" s="208"/>
      <c r="B48" s="208"/>
      <c r="C48" s="208"/>
      <c r="D48" s="209" t="s">
        <v>661</v>
      </c>
      <c r="F48" s="209" t="s">
        <v>662</v>
      </c>
    </row>
    <row r="49">
      <c r="A49" s="100" t="s">
        <v>663</v>
      </c>
      <c r="B49" s="100" t="s">
        <v>81</v>
      </c>
      <c r="C49" s="100" t="s">
        <v>92</v>
      </c>
      <c r="D49" s="100" t="s">
        <v>664</v>
      </c>
      <c r="E49" s="100" t="s">
        <v>665</v>
      </c>
      <c r="F49" s="100" t="s">
        <v>664</v>
      </c>
      <c r="G49" s="100" t="s">
        <v>665</v>
      </c>
    </row>
    <row r="50">
      <c r="A50" s="172">
        <v>1.0</v>
      </c>
      <c r="B50" s="172" t="s">
        <v>666</v>
      </c>
      <c r="C50" s="205">
        <v>10000.0</v>
      </c>
      <c r="D50" s="210">
        <v>26887.0</v>
      </c>
      <c r="E50" s="172">
        <v>26.0</v>
      </c>
      <c r="F50" s="210">
        <v>286561.0</v>
      </c>
      <c r="G50" s="172">
        <v>286.0</v>
      </c>
    </row>
    <row r="51">
      <c r="A51" s="172">
        <v>1.0</v>
      </c>
      <c r="B51" s="172" t="s">
        <v>667</v>
      </c>
      <c r="C51" s="205">
        <v>10000.0</v>
      </c>
      <c r="D51" s="210">
        <v>58947.0</v>
      </c>
      <c r="E51" s="172">
        <v>58.0</v>
      </c>
      <c r="F51" s="210">
        <v>567813.0</v>
      </c>
      <c r="G51" s="172">
        <v>567.0</v>
      </c>
    </row>
    <row r="52">
      <c r="A52" s="172">
        <v>1.0</v>
      </c>
      <c r="B52" s="172" t="s">
        <v>83</v>
      </c>
      <c r="C52" s="205">
        <v>1000.0</v>
      </c>
      <c r="D52" s="172">
        <v>6689.0</v>
      </c>
      <c r="E52" s="172">
        <v>6.0</v>
      </c>
      <c r="F52" s="172">
        <v>64389.0</v>
      </c>
      <c r="G52" s="172">
        <v>64.0</v>
      </c>
    </row>
    <row r="53">
      <c r="A53" s="172">
        <v>1.0</v>
      </c>
      <c r="B53" s="172" t="s">
        <v>84</v>
      </c>
      <c r="C53" s="205">
        <v>1000.0</v>
      </c>
      <c r="D53" s="172">
        <v>11428.0</v>
      </c>
      <c r="E53" s="172">
        <v>11.0</v>
      </c>
      <c r="F53" s="172">
        <v>101642.0</v>
      </c>
      <c r="G53" s="172">
        <v>101.0</v>
      </c>
    </row>
    <row r="54">
      <c r="A54" s="172">
        <v>1.0</v>
      </c>
      <c r="B54" s="172" t="s">
        <v>85</v>
      </c>
      <c r="C54" s="205">
        <v>1000.0</v>
      </c>
      <c r="D54" s="172">
        <v>16594.0</v>
      </c>
      <c r="E54" s="172">
        <v>16.0</v>
      </c>
      <c r="F54" s="172">
        <v>125064.0</v>
      </c>
      <c r="G54" s="172">
        <v>125.0</v>
      </c>
    </row>
    <row r="55">
      <c r="A55" s="172">
        <v>1.0</v>
      </c>
      <c r="B55" s="172" t="s">
        <v>86</v>
      </c>
      <c r="C55" s="205">
        <v>1000.0</v>
      </c>
      <c r="D55" s="172">
        <v>124821.0</v>
      </c>
      <c r="E55" s="172">
        <v>124.0</v>
      </c>
      <c r="F55" s="172">
        <v>498643.0</v>
      </c>
      <c r="G55" s="172">
        <v>498.0</v>
      </c>
    </row>
    <row r="56">
      <c r="A56" s="206">
        <v>2.0</v>
      </c>
      <c r="B56" s="206" t="s">
        <v>666</v>
      </c>
      <c r="C56" s="207">
        <v>10000.0</v>
      </c>
      <c r="D56" s="211">
        <v>28619.0</v>
      </c>
      <c r="E56" s="206">
        <v>28.0</v>
      </c>
      <c r="F56" s="211">
        <v>279304.0</v>
      </c>
      <c r="G56" s="206">
        <v>279.0</v>
      </c>
    </row>
    <row r="57">
      <c r="A57" s="206">
        <v>2.0</v>
      </c>
      <c r="B57" s="206" t="s">
        <v>667</v>
      </c>
      <c r="C57" s="207">
        <v>10000.0</v>
      </c>
      <c r="D57" s="211">
        <v>58583.0</v>
      </c>
      <c r="E57" s="206">
        <v>58.0</v>
      </c>
      <c r="F57" s="206">
        <v>578375.0</v>
      </c>
      <c r="G57" s="206">
        <v>578.0</v>
      </c>
    </row>
    <row r="58">
      <c r="A58" s="206">
        <v>2.0</v>
      </c>
      <c r="B58" s="206" t="s">
        <v>83</v>
      </c>
      <c r="C58" s="207">
        <v>1000.0</v>
      </c>
      <c r="D58" s="206">
        <v>5713.0</v>
      </c>
      <c r="E58" s="206">
        <v>5.0</v>
      </c>
      <c r="F58" s="206">
        <v>60501.0</v>
      </c>
      <c r="G58" s="206">
        <v>60.0</v>
      </c>
    </row>
    <row r="59">
      <c r="A59" s="206">
        <v>2.0</v>
      </c>
      <c r="B59" s="206" t="s">
        <v>84</v>
      </c>
      <c r="C59" s="207">
        <v>1000.0</v>
      </c>
      <c r="D59" s="206">
        <v>10916.0</v>
      </c>
      <c r="E59" s="206">
        <v>10.0</v>
      </c>
      <c r="F59" s="206">
        <v>104343.0</v>
      </c>
      <c r="G59" s="206">
        <v>104.0</v>
      </c>
    </row>
    <row r="60">
      <c r="A60" s="206">
        <v>2.0</v>
      </c>
      <c r="B60" s="206" t="s">
        <v>85</v>
      </c>
      <c r="C60" s="207">
        <v>1000.0</v>
      </c>
      <c r="D60" s="206">
        <v>16878.0</v>
      </c>
      <c r="E60" s="206">
        <v>16.0</v>
      </c>
      <c r="F60" s="206">
        <v>123770.0</v>
      </c>
      <c r="G60" s="206">
        <v>123.0</v>
      </c>
    </row>
    <row r="61">
      <c r="A61" s="206">
        <v>2.0</v>
      </c>
      <c r="B61" s="206" t="s">
        <v>86</v>
      </c>
      <c r="C61" s="207">
        <v>1000.0</v>
      </c>
      <c r="D61" s="206">
        <v>131903.0</v>
      </c>
      <c r="E61" s="206">
        <v>131.0</v>
      </c>
      <c r="F61" s="206">
        <v>575914.0</v>
      </c>
      <c r="G61" s="206">
        <v>575.0</v>
      </c>
    </row>
    <row r="62">
      <c r="E62" s="27"/>
      <c r="F62" s="27"/>
    </row>
    <row r="65">
      <c r="A65" s="212"/>
      <c r="B65" s="212"/>
      <c r="C65" s="212"/>
      <c r="D65" s="213" t="s">
        <v>661</v>
      </c>
      <c r="F65" s="213" t="s">
        <v>662</v>
      </c>
    </row>
    <row r="66">
      <c r="A66" s="214" t="s">
        <v>663</v>
      </c>
      <c r="B66" s="214" t="s">
        <v>81</v>
      </c>
      <c r="C66" s="214" t="s">
        <v>92</v>
      </c>
      <c r="D66" s="214" t="s">
        <v>664</v>
      </c>
      <c r="E66" s="214" t="s">
        <v>665</v>
      </c>
      <c r="F66" s="214" t="s">
        <v>664</v>
      </c>
      <c r="G66" s="214" t="s">
        <v>665</v>
      </c>
    </row>
    <row r="67">
      <c r="A67" s="172">
        <v>1.0</v>
      </c>
      <c r="B67" s="172" t="s">
        <v>666</v>
      </c>
      <c r="C67" s="205">
        <v>10000.0</v>
      </c>
      <c r="D67" s="210">
        <v>29495.0</v>
      </c>
      <c r="E67" s="172">
        <v>29.0</v>
      </c>
      <c r="F67" s="210">
        <v>282276.0</v>
      </c>
      <c r="G67" s="172">
        <v>282.0</v>
      </c>
    </row>
    <row r="68">
      <c r="A68" s="172">
        <v>1.0</v>
      </c>
      <c r="B68" s="172" t="s">
        <v>667</v>
      </c>
      <c r="C68" s="205">
        <v>10000.0</v>
      </c>
      <c r="D68" s="210">
        <v>58156.0</v>
      </c>
      <c r="E68" s="172">
        <v>58.0</v>
      </c>
      <c r="F68" s="210">
        <v>567066.0</v>
      </c>
      <c r="G68" s="172">
        <v>567.0</v>
      </c>
    </row>
    <row r="69">
      <c r="A69" s="172">
        <v>1.0</v>
      </c>
      <c r="B69" s="172" t="s">
        <v>83</v>
      </c>
      <c r="C69" s="205">
        <v>1000.0</v>
      </c>
      <c r="D69" s="172">
        <v>6087.0</v>
      </c>
      <c r="E69" s="172">
        <v>6.0</v>
      </c>
      <c r="F69" s="172">
        <v>62346.0</v>
      </c>
      <c r="G69" s="172">
        <v>62.0</v>
      </c>
    </row>
    <row r="70">
      <c r="A70" s="172">
        <v>1.0</v>
      </c>
      <c r="B70" s="172" t="s">
        <v>84</v>
      </c>
      <c r="C70" s="205">
        <v>1000.0</v>
      </c>
      <c r="D70" s="172">
        <v>11573.0</v>
      </c>
      <c r="E70" s="172">
        <v>11.0</v>
      </c>
      <c r="F70" s="172">
        <v>103128.0</v>
      </c>
      <c r="G70" s="172">
        <v>103.0</v>
      </c>
    </row>
    <row r="71">
      <c r="A71" s="172">
        <v>1.0</v>
      </c>
      <c r="B71" s="172" t="s">
        <v>85</v>
      </c>
      <c r="C71" s="205">
        <v>1000.0</v>
      </c>
      <c r="D71" s="172">
        <v>15542.0</v>
      </c>
      <c r="E71" s="172">
        <v>15.0</v>
      </c>
      <c r="F71" s="172">
        <v>134169.0</v>
      </c>
      <c r="G71" s="172">
        <v>134.0</v>
      </c>
    </row>
    <row r="72">
      <c r="A72" s="172">
        <v>1.0</v>
      </c>
      <c r="B72" s="172" t="s">
        <v>86</v>
      </c>
      <c r="C72" s="205">
        <v>1000.0</v>
      </c>
      <c r="D72" s="172">
        <v>128611.0</v>
      </c>
      <c r="E72" s="172">
        <v>128.0</v>
      </c>
      <c r="F72" s="172">
        <v>567403.0</v>
      </c>
      <c r="G72" s="172">
        <v>567.0</v>
      </c>
    </row>
    <row r="74">
      <c r="F74" s="27" t="s">
        <v>668</v>
      </c>
    </row>
    <row r="75">
      <c r="D75" s="215" t="s">
        <v>43</v>
      </c>
      <c r="J75" s="215" t="s">
        <v>44</v>
      </c>
      <c r="P75" s="215" t="s">
        <v>45</v>
      </c>
      <c r="V75" s="215" t="s">
        <v>46</v>
      </c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</row>
    <row r="76">
      <c r="A76" s="129"/>
      <c r="B76" s="20" t="s">
        <v>41</v>
      </c>
      <c r="C76" s="20" t="s">
        <v>42</v>
      </c>
      <c r="D76" s="131" t="s">
        <v>669</v>
      </c>
      <c r="E76" s="8"/>
      <c r="F76" s="9"/>
      <c r="G76" s="131" t="s">
        <v>670</v>
      </c>
      <c r="H76" s="8"/>
      <c r="I76" s="9"/>
      <c r="J76" s="131" t="s">
        <v>669</v>
      </c>
      <c r="K76" s="8"/>
      <c r="L76" s="9"/>
      <c r="M76" s="131" t="s">
        <v>670</v>
      </c>
      <c r="N76" s="8"/>
      <c r="O76" s="9"/>
      <c r="P76" s="216" t="s">
        <v>669</v>
      </c>
      <c r="Q76" s="88"/>
      <c r="R76" s="83"/>
      <c r="S76" s="217" t="s">
        <v>670</v>
      </c>
      <c r="T76" s="88"/>
      <c r="U76" s="83"/>
      <c r="V76" s="216" t="s">
        <v>669</v>
      </c>
      <c r="W76" s="88"/>
      <c r="X76" s="83"/>
      <c r="Y76" s="217" t="s">
        <v>670</v>
      </c>
      <c r="Z76" s="88"/>
      <c r="AA76" s="83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</row>
    <row r="77">
      <c r="A77" s="24"/>
      <c r="B77" s="24"/>
      <c r="C77" s="24"/>
      <c r="D77" s="25" t="s">
        <v>16</v>
      </c>
      <c r="E77" s="25" t="s">
        <v>0</v>
      </c>
      <c r="F77" s="25" t="s">
        <v>171</v>
      </c>
      <c r="G77" s="26" t="s">
        <v>16</v>
      </c>
      <c r="H77" s="26" t="s">
        <v>0</v>
      </c>
      <c r="I77" s="26" t="s">
        <v>171</v>
      </c>
      <c r="J77" s="25" t="s">
        <v>16</v>
      </c>
      <c r="K77" s="25" t="s">
        <v>0</v>
      </c>
      <c r="L77" s="25" t="s">
        <v>171</v>
      </c>
      <c r="M77" s="26" t="s">
        <v>16</v>
      </c>
      <c r="N77" s="26" t="s">
        <v>0</v>
      </c>
      <c r="O77" s="26" t="s">
        <v>171</v>
      </c>
      <c r="P77" s="219" t="s">
        <v>16</v>
      </c>
      <c r="Q77" s="220" t="s">
        <v>0</v>
      </c>
      <c r="R77" s="220" t="s">
        <v>171</v>
      </c>
      <c r="S77" s="221" t="s">
        <v>16</v>
      </c>
      <c r="T77" s="221" t="s">
        <v>0</v>
      </c>
      <c r="U77" s="221" t="s">
        <v>171</v>
      </c>
      <c r="V77" s="219" t="s">
        <v>16</v>
      </c>
      <c r="W77" s="220" t="s">
        <v>0</v>
      </c>
      <c r="X77" s="220" t="s">
        <v>171</v>
      </c>
      <c r="Y77" s="221" t="s">
        <v>16</v>
      </c>
      <c r="Z77" s="221" t="s">
        <v>0</v>
      </c>
      <c r="AA77" s="221" t="s">
        <v>171</v>
      </c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</row>
    <row r="78">
      <c r="A78" s="24" t="s">
        <v>91</v>
      </c>
      <c r="B78" s="24">
        <v>10000.0</v>
      </c>
      <c r="C78" s="24">
        <v>0.0</v>
      </c>
      <c r="D78" s="28">
        <v>27.375</v>
      </c>
      <c r="E78" s="28"/>
      <c r="F78" s="30"/>
      <c r="G78" s="155">
        <v>299.438</v>
      </c>
      <c r="H78" s="154"/>
      <c r="I78" s="154"/>
      <c r="J78" s="33">
        <v>30.418</v>
      </c>
      <c r="K78" s="28"/>
      <c r="L78" s="30"/>
      <c r="M78" s="155">
        <v>296.761</v>
      </c>
      <c r="N78" s="154"/>
      <c r="O78" s="154"/>
      <c r="P78" s="33">
        <v>30.912</v>
      </c>
      <c r="Q78" s="223"/>
      <c r="R78" s="223"/>
      <c r="S78" s="155">
        <v>286.664</v>
      </c>
      <c r="T78" s="86"/>
      <c r="U78" s="86"/>
      <c r="V78" s="33">
        <v>26.937</v>
      </c>
      <c r="W78" s="223"/>
      <c r="X78" s="223"/>
      <c r="Y78" s="155">
        <v>293.895</v>
      </c>
      <c r="Z78" s="86"/>
      <c r="AA78" s="86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</row>
    <row r="79">
      <c r="A79" s="24" t="s">
        <v>82</v>
      </c>
      <c r="B79" s="24">
        <v>10000.0</v>
      </c>
      <c r="C79" s="24">
        <v>1024.0</v>
      </c>
      <c r="D79" s="33">
        <v>56.337</v>
      </c>
      <c r="E79" s="157"/>
      <c r="F79" s="157"/>
      <c r="G79" s="155">
        <v>565.821</v>
      </c>
      <c r="H79" s="156"/>
      <c r="I79" s="156"/>
      <c r="J79" s="33">
        <v>55.888</v>
      </c>
      <c r="K79" s="157"/>
      <c r="L79" s="157"/>
      <c r="M79" s="155">
        <v>574.376</v>
      </c>
      <c r="N79" s="156"/>
      <c r="O79" s="156"/>
      <c r="P79" s="33">
        <v>56.139</v>
      </c>
      <c r="Q79" s="225"/>
      <c r="R79" s="225"/>
      <c r="S79" s="155">
        <v>577.697</v>
      </c>
      <c r="T79" s="87"/>
      <c r="U79" s="87"/>
      <c r="V79" s="33">
        <v>55.733</v>
      </c>
      <c r="W79" s="225"/>
      <c r="X79" s="225"/>
      <c r="Y79" s="155">
        <v>570.217</v>
      </c>
      <c r="Z79" s="87"/>
      <c r="AA79" s="87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</row>
    <row r="80">
      <c r="A80" s="24" t="s">
        <v>83</v>
      </c>
      <c r="B80" s="24">
        <v>1000.0</v>
      </c>
      <c r="C80" s="24" t="str">
        <f t="shared" ref="C80:C86" si="1">C79*10</f>
        <v>10240</v>
      </c>
      <c r="D80" s="33">
        <v>5.813</v>
      </c>
      <c r="E80" s="30"/>
      <c r="F80" s="30"/>
      <c r="G80" s="155">
        <v>56.985</v>
      </c>
      <c r="H80" s="154"/>
      <c r="I80" s="29"/>
      <c r="J80" s="33">
        <v>6.467</v>
      </c>
      <c r="K80" s="30"/>
      <c r="L80" s="30"/>
      <c r="M80" s="155">
        <v>65.414</v>
      </c>
      <c r="N80" s="154"/>
      <c r="O80" s="29"/>
      <c r="P80" s="33">
        <v>6.196</v>
      </c>
      <c r="Q80" s="223"/>
      <c r="R80" s="223"/>
      <c r="S80" s="155">
        <v>58.223</v>
      </c>
      <c r="T80" s="86"/>
      <c r="U80" s="86"/>
      <c r="V80" s="33">
        <v>6.106</v>
      </c>
      <c r="W80" s="223"/>
      <c r="X80" s="223"/>
      <c r="Y80" s="155">
        <v>63.938</v>
      </c>
      <c r="Z80" s="86"/>
      <c r="AA80" s="86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</row>
    <row r="81">
      <c r="A81" s="24" t="s">
        <v>84</v>
      </c>
      <c r="B81" s="24">
        <v>1000.0</v>
      </c>
      <c r="C81" s="24" t="str">
        <f t="shared" si="1"/>
        <v>102400</v>
      </c>
      <c r="D81" s="33">
        <v>12.311</v>
      </c>
      <c r="E81" s="30"/>
      <c r="F81" s="30"/>
      <c r="G81" s="155">
        <v>113.873</v>
      </c>
      <c r="H81" s="154"/>
      <c r="I81" s="29"/>
      <c r="J81" s="33">
        <v>11.79</v>
      </c>
      <c r="K81" s="30"/>
      <c r="L81" s="30"/>
      <c r="M81" s="155">
        <v>114.781</v>
      </c>
      <c r="N81" s="154"/>
      <c r="O81" s="29"/>
      <c r="P81" s="33">
        <v>12.562</v>
      </c>
      <c r="Q81" s="223"/>
      <c r="R81" s="223"/>
      <c r="S81" s="155">
        <v>112.066</v>
      </c>
      <c r="T81" s="86"/>
      <c r="U81" s="86"/>
      <c r="V81" s="33">
        <v>12.004</v>
      </c>
      <c r="W81" s="223"/>
      <c r="X81" s="223"/>
      <c r="Y81" s="155">
        <v>116.451</v>
      </c>
      <c r="Z81" s="86"/>
      <c r="AA81" s="86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</row>
    <row r="82">
      <c r="A82" s="24" t="s">
        <v>85</v>
      </c>
      <c r="B82" s="24">
        <v>1000.0</v>
      </c>
      <c r="C82" s="24" t="str">
        <f t="shared" si="1"/>
        <v>1024000</v>
      </c>
      <c r="D82" s="33">
        <v>16.748</v>
      </c>
      <c r="E82" s="30"/>
      <c r="F82" s="30"/>
      <c r="G82" s="155">
        <v>139.156</v>
      </c>
      <c r="H82" s="154"/>
      <c r="I82" s="29"/>
      <c r="J82" s="33">
        <v>17.927</v>
      </c>
      <c r="K82" s="30"/>
      <c r="L82" s="30"/>
      <c r="M82" s="155">
        <v>132.17</v>
      </c>
      <c r="N82" s="154"/>
      <c r="O82" s="29"/>
      <c r="P82" s="33">
        <v>16.961</v>
      </c>
      <c r="Q82" s="223"/>
      <c r="R82" s="223"/>
      <c r="S82" s="155">
        <v>135.539</v>
      </c>
      <c r="T82" s="86"/>
      <c r="U82" s="86"/>
      <c r="V82" s="33">
        <v>18.289</v>
      </c>
      <c r="W82" s="223"/>
      <c r="X82" s="223"/>
      <c r="Y82" s="155">
        <v>141.8</v>
      </c>
      <c r="Z82" s="86"/>
      <c r="AA82" s="86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</row>
    <row r="83">
      <c r="A83" s="24" t="s">
        <v>86</v>
      </c>
      <c r="B83" s="24">
        <v>1000.0</v>
      </c>
      <c r="C83" s="24" t="str">
        <f t="shared" si="1"/>
        <v>10240000</v>
      </c>
      <c r="D83" s="33">
        <v>121.677</v>
      </c>
      <c r="E83" s="30"/>
      <c r="F83" s="30"/>
      <c r="G83" s="155">
        <v>673.483</v>
      </c>
      <c r="H83" s="154"/>
      <c r="I83" s="29"/>
      <c r="J83" s="33">
        <v>139.794</v>
      </c>
      <c r="K83" s="30"/>
      <c r="L83" s="30"/>
      <c r="M83" s="155">
        <v>728.588</v>
      </c>
      <c r="N83" s="154"/>
      <c r="O83" s="29"/>
      <c r="P83" s="33">
        <v>127.512</v>
      </c>
      <c r="Q83" s="223"/>
      <c r="R83" s="223"/>
      <c r="S83" s="155">
        <v>607.576</v>
      </c>
      <c r="T83" s="86"/>
      <c r="U83" s="86"/>
      <c r="V83" s="33">
        <v>127.78</v>
      </c>
      <c r="W83" s="223"/>
      <c r="X83" s="223"/>
      <c r="Y83" s="155">
        <v>622.769</v>
      </c>
      <c r="Z83" s="86"/>
      <c r="AA83" s="86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</row>
    <row r="84">
      <c r="A84" s="24" t="s">
        <v>87</v>
      </c>
      <c r="B84" s="24">
        <v>100.0</v>
      </c>
      <c r="C84" s="24" t="str">
        <f t="shared" si="1"/>
        <v>102400000</v>
      </c>
      <c r="D84" s="30">
        <v>147.414</v>
      </c>
      <c r="E84" s="30"/>
      <c r="F84" s="30"/>
      <c r="G84" s="29">
        <v>323.502</v>
      </c>
      <c r="H84" s="154"/>
      <c r="I84" s="29"/>
      <c r="J84" s="30">
        <v>132.104</v>
      </c>
      <c r="K84" s="30"/>
      <c r="L84" s="30"/>
      <c r="M84" s="29">
        <v>363.899</v>
      </c>
      <c r="N84" s="154"/>
      <c r="O84" s="29"/>
      <c r="P84" s="226">
        <v>138.715</v>
      </c>
      <c r="Q84" s="223"/>
      <c r="R84" s="223"/>
      <c r="S84" s="227">
        <v>404.713</v>
      </c>
      <c r="T84" s="86"/>
      <c r="U84" s="86"/>
      <c r="V84" s="226">
        <v>133.903</v>
      </c>
      <c r="W84" s="223"/>
      <c r="X84" s="223"/>
      <c r="Y84" s="227">
        <v>344.148</v>
      </c>
      <c r="Z84" s="86"/>
      <c r="AA84" s="86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</row>
    <row r="85">
      <c r="A85" s="24" t="s">
        <v>88</v>
      </c>
      <c r="B85" s="24">
        <v>10.0</v>
      </c>
      <c r="C85" s="24" t="str">
        <f t="shared" si="1"/>
        <v>1024000000</v>
      </c>
      <c r="D85" s="30">
        <v>168.798</v>
      </c>
      <c r="E85" s="30"/>
      <c r="F85" s="30"/>
      <c r="G85" s="29"/>
      <c r="H85" s="154"/>
      <c r="I85" s="29"/>
      <c r="J85" s="30">
        <v>129.579</v>
      </c>
      <c r="K85" s="30"/>
      <c r="L85" s="30"/>
      <c r="M85" s="29"/>
      <c r="N85" s="154"/>
      <c r="O85" s="29"/>
      <c r="P85" s="226">
        <v>141.567</v>
      </c>
      <c r="Q85" s="223"/>
      <c r="R85" s="223"/>
      <c r="S85" s="86"/>
      <c r="T85" s="86"/>
      <c r="U85" s="86"/>
      <c r="V85" s="226">
        <v>131.799</v>
      </c>
      <c r="W85" s="223"/>
      <c r="X85" s="223"/>
      <c r="Y85" s="86"/>
      <c r="Z85" s="86"/>
      <c r="AA85" s="86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</row>
    <row r="86">
      <c r="A86" s="24" t="s">
        <v>89</v>
      </c>
      <c r="B86" s="24">
        <v>1.0</v>
      </c>
      <c r="C86" s="24" t="str">
        <f t="shared" si="1"/>
        <v>10240000000</v>
      </c>
      <c r="D86" s="30">
        <v>148.907</v>
      </c>
      <c r="E86" s="30"/>
      <c r="F86" s="30"/>
      <c r="G86" s="29"/>
      <c r="H86" s="154"/>
      <c r="I86" s="29"/>
      <c r="J86" s="30">
        <v>128.729</v>
      </c>
      <c r="K86" s="30"/>
      <c r="L86" s="30"/>
      <c r="M86" s="29"/>
      <c r="N86" s="154"/>
      <c r="O86" s="29"/>
      <c r="P86" s="226">
        <v>140.594</v>
      </c>
      <c r="Q86" s="223"/>
      <c r="R86" s="223"/>
      <c r="S86" s="86"/>
      <c r="T86" s="86"/>
      <c r="U86" s="86"/>
      <c r="V86" s="226">
        <v>132.016</v>
      </c>
      <c r="W86" s="223"/>
      <c r="X86" s="223"/>
      <c r="Y86" s="86"/>
      <c r="Z86" s="86"/>
      <c r="AA86" s="86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</row>
    <row r="89">
      <c r="D89" s="215" t="s">
        <v>43</v>
      </c>
      <c r="J89" s="215" t="s">
        <v>44</v>
      </c>
    </row>
    <row r="90">
      <c r="A90" s="129"/>
      <c r="B90" s="20" t="s">
        <v>41</v>
      </c>
      <c r="C90" s="20" t="s">
        <v>42</v>
      </c>
      <c r="D90" s="131" t="s">
        <v>669</v>
      </c>
      <c r="E90" s="8"/>
      <c r="F90" s="9"/>
      <c r="G90" s="131" t="s">
        <v>670</v>
      </c>
      <c r="H90" s="8"/>
      <c r="I90" s="9"/>
      <c r="J90" s="131" t="s">
        <v>669</v>
      </c>
      <c r="K90" s="8"/>
      <c r="L90" s="9"/>
      <c r="M90" s="131" t="s">
        <v>670</v>
      </c>
      <c r="N90" s="8"/>
      <c r="O90" s="9"/>
    </row>
    <row r="91">
      <c r="A91" s="24"/>
      <c r="B91" s="24"/>
      <c r="C91" s="24"/>
      <c r="D91" s="25" t="s">
        <v>16</v>
      </c>
      <c r="E91" s="25" t="s">
        <v>0</v>
      </c>
      <c r="F91" s="25" t="s">
        <v>171</v>
      </c>
      <c r="G91" s="26" t="s">
        <v>16</v>
      </c>
      <c r="H91" s="26" t="s">
        <v>0</v>
      </c>
      <c r="I91" s="26" t="s">
        <v>171</v>
      </c>
      <c r="J91" s="25" t="s">
        <v>16</v>
      </c>
      <c r="K91" s="25" t="s">
        <v>0</v>
      </c>
      <c r="L91" s="25" t="s">
        <v>171</v>
      </c>
      <c r="M91" s="26" t="s">
        <v>16</v>
      </c>
      <c r="N91" s="26" t="s">
        <v>0</v>
      </c>
      <c r="O91" s="26" t="s">
        <v>171</v>
      </c>
    </row>
    <row r="92">
      <c r="A92" s="24" t="s">
        <v>91</v>
      </c>
      <c r="B92" s="24">
        <v>10000.0</v>
      </c>
      <c r="C92" s="24">
        <v>0.0</v>
      </c>
      <c r="D92" s="210">
        <v>26.887</v>
      </c>
      <c r="E92" s="28"/>
      <c r="F92" s="30"/>
      <c r="G92" s="210">
        <v>286.561</v>
      </c>
      <c r="H92" s="154"/>
      <c r="I92" s="154"/>
      <c r="J92" s="211">
        <v>28.619</v>
      </c>
      <c r="K92" s="28"/>
      <c r="L92" s="30"/>
      <c r="M92" s="211">
        <v>279.304</v>
      </c>
      <c r="N92" s="154"/>
      <c r="O92" s="154"/>
    </row>
    <row r="93">
      <c r="A93" s="24" t="s">
        <v>82</v>
      </c>
      <c r="B93" s="24">
        <v>10000.0</v>
      </c>
      <c r="C93" s="24">
        <v>1024.0</v>
      </c>
      <c r="D93" s="210">
        <v>58.947</v>
      </c>
      <c r="E93" s="157"/>
      <c r="F93" s="157"/>
      <c r="G93" s="210">
        <v>567.813</v>
      </c>
      <c r="H93" s="156"/>
      <c r="I93" s="156"/>
      <c r="J93" s="211">
        <v>58.583</v>
      </c>
      <c r="K93" s="157"/>
      <c r="L93" s="157"/>
      <c r="M93" s="206">
        <v>578.375</v>
      </c>
      <c r="N93" s="156"/>
      <c r="O93" s="156"/>
    </row>
    <row r="94">
      <c r="A94" s="24" t="s">
        <v>83</v>
      </c>
      <c r="B94" s="24">
        <v>1000.0</v>
      </c>
      <c r="C94" s="24" t="str">
        <f t="shared" ref="C94:C100" si="2">C93*10</f>
        <v>10240</v>
      </c>
      <c r="D94" s="172">
        <v>6.689</v>
      </c>
      <c r="E94" s="30"/>
      <c r="F94" s="30"/>
      <c r="G94" s="172">
        <v>64.389</v>
      </c>
      <c r="H94" s="154"/>
      <c r="I94" s="29"/>
      <c r="J94" s="206">
        <v>5.713</v>
      </c>
      <c r="K94" s="30"/>
      <c r="L94" s="30"/>
      <c r="M94" s="206">
        <v>60.501</v>
      </c>
      <c r="N94" s="154"/>
      <c r="O94" s="29"/>
    </row>
    <row r="95">
      <c r="A95" s="24" t="s">
        <v>84</v>
      </c>
      <c r="B95" s="24">
        <v>1000.0</v>
      </c>
      <c r="C95" s="24" t="str">
        <f t="shared" si="2"/>
        <v>102400</v>
      </c>
      <c r="D95" s="172">
        <v>11.428</v>
      </c>
      <c r="E95" s="30"/>
      <c r="F95" s="30"/>
      <c r="G95" s="172">
        <v>101.642</v>
      </c>
      <c r="H95" s="154"/>
      <c r="I95" s="29"/>
      <c r="J95" s="206">
        <v>10.916</v>
      </c>
      <c r="K95" s="30"/>
      <c r="L95" s="30"/>
      <c r="M95" s="206">
        <v>104.343</v>
      </c>
      <c r="N95" s="154"/>
      <c r="O95" s="29"/>
    </row>
    <row r="96">
      <c r="A96" s="24" t="s">
        <v>85</v>
      </c>
      <c r="B96" s="24">
        <v>1000.0</v>
      </c>
      <c r="C96" s="24" t="str">
        <f t="shared" si="2"/>
        <v>1024000</v>
      </c>
      <c r="D96" s="172">
        <v>16.594</v>
      </c>
      <c r="E96" s="30"/>
      <c r="F96" s="30"/>
      <c r="G96" s="172">
        <v>125.064</v>
      </c>
      <c r="H96" s="154"/>
      <c r="I96" s="29"/>
      <c r="J96" s="206">
        <v>16.878</v>
      </c>
      <c r="K96" s="30"/>
      <c r="L96" s="30"/>
      <c r="M96" s="206">
        <v>123.77</v>
      </c>
      <c r="N96" s="154"/>
      <c r="O96" s="29"/>
    </row>
    <row r="97">
      <c r="A97" s="24" t="s">
        <v>86</v>
      </c>
      <c r="B97" s="24">
        <v>1000.0</v>
      </c>
      <c r="C97" s="24" t="str">
        <f t="shared" si="2"/>
        <v>10240000</v>
      </c>
      <c r="D97" s="172">
        <v>124.821</v>
      </c>
      <c r="E97" s="30"/>
      <c r="F97" s="30"/>
      <c r="G97" s="172">
        <v>498.643</v>
      </c>
      <c r="H97" s="154"/>
      <c r="I97" s="29"/>
      <c r="J97" s="206">
        <v>131.903</v>
      </c>
      <c r="K97" s="30"/>
      <c r="L97" s="30"/>
      <c r="M97" s="206">
        <v>575.914</v>
      </c>
      <c r="N97" s="154"/>
      <c r="O97" s="29"/>
    </row>
    <row r="98">
      <c r="A98" s="24" t="s">
        <v>87</v>
      </c>
      <c r="B98" s="24">
        <v>100.0</v>
      </c>
      <c r="C98" s="24" t="str">
        <f t="shared" si="2"/>
        <v>102400000</v>
      </c>
      <c r="D98" s="30">
        <v>279.82</v>
      </c>
      <c r="E98" s="30"/>
      <c r="F98" s="30"/>
      <c r="G98" s="29">
        <v>351.059</v>
      </c>
      <c r="H98" s="154"/>
      <c r="I98" s="29"/>
      <c r="J98" s="30">
        <v>131.195</v>
      </c>
      <c r="K98" s="30"/>
      <c r="L98" s="30"/>
      <c r="M98" s="29">
        <v>383.218</v>
      </c>
      <c r="N98" s="154"/>
      <c r="O98" s="29"/>
    </row>
    <row r="99">
      <c r="A99" s="24" t="s">
        <v>88</v>
      </c>
      <c r="B99" s="24">
        <v>10.0</v>
      </c>
      <c r="C99" s="24" t="str">
        <f t="shared" si="2"/>
        <v>1024000000</v>
      </c>
      <c r="D99" s="30">
        <v>261.435</v>
      </c>
      <c r="E99" s="30"/>
      <c r="F99" s="30"/>
      <c r="G99" s="29"/>
      <c r="H99" s="154"/>
      <c r="I99" s="29"/>
      <c r="J99" s="30">
        <v>129.517</v>
      </c>
      <c r="K99" s="30"/>
      <c r="L99" s="30"/>
      <c r="M99" s="29"/>
      <c r="N99" s="154"/>
      <c r="O99" s="29"/>
    </row>
    <row r="100">
      <c r="A100" s="24" t="s">
        <v>89</v>
      </c>
      <c r="B100" s="24">
        <v>1.0</v>
      </c>
      <c r="C100" s="24" t="str">
        <f t="shared" si="2"/>
        <v>10240000000</v>
      </c>
      <c r="D100" s="30">
        <v>139.691</v>
      </c>
      <c r="E100" s="30"/>
      <c r="F100" s="30"/>
      <c r="G100" s="29"/>
      <c r="H100" s="154"/>
      <c r="I100" s="29"/>
      <c r="J100" s="30">
        <v>132.399</v>
      </c>
      <c r="K100" s="30"/>
      <c r="L100" s="30"/>
      <c r="M100" s="29"/>
      <c r="N100" s="154"/>
      <c r="O100" s="29"/>
    </row>
    <row r="103">
      <c r="D103" s="215" t="s">
        <v>43</v>
      </c>
    </row>
    <row r="104">
      <c r="A104" s="129"/>
      <c r="B104" s="20" t="s">
        <v>41</v>
      </c>
      <c r="C104" s="20" t="s">
        <v>42</v>
      </c>
      <c r="D104" s="131" t="s">
        <v>669</v>
      </c>
      <c r="E104" s="8"/>
      <c r="F104" s="9"/>
      <c r="G104" s="131" t="s">
        <v>670</v>
      </c>
      <c r="H104" s="8"/>
      <c r="I104" s="9"/>
    </row>
    <row r="105">
      <c r="A105" s="24"/>
      <c r="B105" s="24"/>
      <c r="C105" s="24"/>
      <c r="D105" s="25" t="s">
        <v>16</v>
      </c>
      <c r="E105" s="25" t="s">
        <v>0</v>
      </c>
      <c r="F105" s="25" t="s">
        <v>171</v>
      </c>
      <c r="G105" s="26" t="s">
        <v>16</v>
      </c>
      <c r="H105" s="26" t="s">
        <v>0</v>
      </c>
      <c r="I105" s="26" t="s">
        <v>171</v>
      </c>
    </row>
    <row r="106">
      <c r="A106" s="24" t="s">
        <v>91</v>
      </c>
      <c r="B106" s="24">
        <v>10000.0</v>
      </c>
      <c r="C106" s="24">
        <v>0.0</v>
      </c>
      <c r="D106" s="210">
        <v>29.495</v>
      </c>
      <c r="E106" s="28"/>
      <c r="F106" s="30"/>
      <c r="G106" s="210">
        <v>282.276</v>
      </c>
      <c r="H106" s="154"/>
      <c r="I106" s="154"/>
    </row>
    <row r="107">
      <c r="A107" s="24" t="s">
        <v>82</v>
      </c>
      <c r="B107" s="24">
        <v>10000.0</v>
      </c>
      <c r="C107" s="24">
        <v>1024.0</v>
      </c>
      <c r="D107" s="210">
        <v>58.156</v>
      </c>
      <c r="E107" s="157"/>
      <c r="F107" s="157"/>
      <c r="G107" s="210">
        <v>567.066</v>
      </c>
      <c r="H107" s="156"/>
      <c r="I107" s="156"/>
    </row>
    <row r="108">
      <c r="A108" s="24" t="s">
        <v>83</v>
      </c>
      <c r="B108" s="24">
        <v>1000.0</v>
      </c>
      <c r="C108" s="24" t="str">
        <f t="shared" ref="C108:C114" si="3">C107*10</f>
        <v>10240</v>
      </c>
      <c r="D108" s="172">
        <v>6.087</v>
      </c>
      <c r="E108" s="30"/>
      <c r="F108" s="30"/>
      <c r="G108" s="172">
        <v>62.346</v>
      </c>
      <c r="H108" s="154"/>
      <c r="I108" s="29"/>
    </row>
    <row r="109">
      <c r="A109" s="24" t="s">
        <v>84</v>
      </c>
      <c r="B109" s="24">
        <v>1000.0</v>
      </c>
      <c r="C109" s="24" t="str">
        <f t="shared" si="3"/>
        <v>102400</v>
      </c>
      <c r="D109" s="172">
        <v>11.573</v>
      </c>
      <c r="E109" s="30"/>
      <c r="F109" s="30"/>
      <c r="G109" s="172">
        <v>103.128</v>
      </c>
      <c r="H109" s="154"/>
      <c r="I109" s="29"/>
    </row>
    <row r="110">
      <c r="A110" s="24" t="s">
        <v>85</v>
      </c>
      <c r="B110" s="24">
        <v>1000.0</v>
      </c>
      <c r="C110" s="24" t="str">
        <f t="shared" si="3"/>
        <v>1024000</v>
      </c>
      <c r="D110" s="172">
        <v>15.542</v>
      </c>
      <c r="E110" s="30"/>
      <c r="F110" s="30"/>
      <c r="G110" s="172">
        <v>134.169</v>
      </c>
      <c r="H110" s="154"/>
      <c r="I110" s="29"/>
    </row>
    <row r="111">
      <c r="A111" s="24" t="s">
        <v>86</v>
      </c>
      <c r="B111" s="24">
        <v>1000.0</v>
      </c>
      <c r="C111" s="24" t="str">
        <f t="shared" si="3"/>
        <v>10240000</v>
      </c>
      <c r="D111" s="172">
        <v>128.611</v>
      </c>
      <c r="E111" s="30"/>
      <c r="F111" s="30"/>
      <c r="G111" s="172">
        <v>567.403</v>
      </c>
      <c r="H111" s="154"/>
      <c r="I111" s="29"/>
    </row>
    <row r="112">
      <c r="A112" s="24" t="s">
        <v>87</v>
      </c>
      <c r="B112" s="24">
        <v>100.0</v>
      </c>
      <c r="C112" s="24" t="str">
        <f t="shared" si="3"/>
        <v>102400000</v>
      </c>
      <c r="D112" s="30">
        <v>129.969</v>
      </c>
      <c r="E112" s="30"/>
      <c r="F112" s="30"/>
      <c r="G112" s="29">
        <v>296.436</v>
      </c>
      <c r="H112" s="154"/>
      <c r="I112" s="29"/>
    </row>
    <row r="113">
      <c r="A113" s="24" t="s">
        <v>88</v>
      </c>
      <c r="B113" s="24">
        <v>10.0</v>
      </c>
      <c r="C113" s="24" t="str">
        <f t="shared" si="3"/>
        <v>1024000000</v>
      </c>
      <c r="D113" s="30">
        <v>142.206</v>
      </c>
      <c r="E113" s="30"/>
      <c r="F113" s="30"/>
      <c r="G113" s="29"/>
      <c r="H113" s="154"/>
      <c r="I113" s="29"/>
    </row>
    <row r="114">
      <c r="A114" s="24" t="s">
        <v>89</v>
      </c>
      <c r="B114" s="24">
        <v>1.0</v>
      </c>
      <c r="C114" s="24" t="str">
        <f t="shared" si="3"/>
        <v>10240000000</v>
      </c>
      <c r="D114" s="30">
        <v>129.996</v>
      </c>
      <c r="E114" s="30"/>
      <c r="F114" s="30"/>
      <c r="G114" s="29"/>
      <c r="H114" s="154"/>
      <c r="I114" s="29"/>
    </row>
    <row r="122">
      <c r="C122" s="27" t="s">
        <v>72</v>
      </c>
    </row>
    <row r="123">
      <c r="D123" s="115"/>
      <c r="E123" s="115"/>
      <c r="F123" s="115"/>
      <c r="G123" s="115"/>
      <c r="H123" s="115"/>
    </row>
    <row r="124">
      <c r="A124" s="20" t="s">
        <v>41</v>
      </c>
      <c r="B124" s="20" t="s">
        <v>42</v>
      </c>
      <c r="C124" s="21" t="s">
        <v>43</v>
      </c>
      <c r="D124" s="8"/>
      <c r="E124" s="22" t="s">
        <v>44</v>
      </c>
      <c r="F124" s="8"/>
      <c r="G124" s="23" t="s">
        <v>45</v>
      </c>
      <c r="H124" s="8"/>
      <c r="I124" s="22" t="s">
        <v>46</v>
      </c>
      <c r="J124" s="8"/>
      <c r="K124" s="228"/>
      <c r="L124" s="229"/>
      <c r="M124" s="230"/>
      <c r="N124" s="231"/>
    </row>
    <row r="125">
      <c r="A125" s="24"/>
      <c r="B125" s="24"/>
      <c r="C125" s="25" t="s">
        <v>16</v>
      </c>
      <c r="D125" s="25" t="s">
        <v>0</v>
      </c>
      <c r="E125" s="26" t="s">
        <v>16</v>
      </c>
      <c r="F125" s="26" t="s">
        <v>0</v>
      </c>
      <c r="G125" s="25" t="s">
        <v>16</v>
      </c>
      <c r="H125" s="25" t="s">
        <v>0</v>
      </c>
      <c r="I125" s="26" t="s">
        <v>16</v>
      </c>
      <c r="J125" s="26" t="s">
        <v>0</v>
      </c>
      <c r="K125" s="232"/>
      <c r="L125" s="232"/>
      <c r="M125" s="232"/>
      <c r="N125" s="232"/>
    </row>
    <row r="126">
      <c r="A126" s="24">
        <v>10000.0</v>
      </c>
      <c r="B126" s="24">
        <v>0.0</v>
      </c>
      <c r="C126" s="28">
        <v>26.423</v>
      </c>
      <c r="D126" s="28">
        <v>195.158</v>
      </c>
      <c r="E126" s="29">
        <v>28.141</v>
      </c>
      <c r="F126" s="29">
        <v>193.59</v>
      </c>
      <c r="G126" s="30">
        <v>27.977</v>
      </c>
      <c r="H126" s="30">
        <v>198.802</v>
      </c>
      <c r="I126" s="31">
        <v>28.992</v>
      </c>
      <c r="J126" s="31">
        <v>183.757</v>
      </c>
      <c r="K126" s="24"/>
      <c r="L126" s="24"/>
      <c r="M126" s="13"/>
      <c r="N126" s="13"/>
    </row>
    <row r="127">
      <c r="A127" s="24">
        <v>10000.0</v>
      </c>
      <c r="B127" s="24">
        <v>1024.0</v>
      </c>
      <c r="C127" s="30">
        <v>51.148</v>
      </c>
      <c r="D127" s="30">
        <v>219.568</v>
      </c>
      <c r="E127" s="29">
        <v>51.68</v>
      </c>
      <c r="F127" s="29">
        <v>203.249</v>
      </c>
      <c r="G127" s="30">
        <v>51.019</v>
      </c>
      <c r="H127" s="30">
        <v>211.965</v>
      </c>
      <c r="I127" s="29">
        <v>54.827</v>
      </c>
      <c r="J127" s="29">
        <v>210.167</v>
      </c>
      <c r="K127" s="13"/>
      <c r="L127" s="24"/>
      <c r="M127" s="13"/>
      <c r="N127" s="13"/>
    </row>
    <row r="128">
      <c r="A128" s="24">
        <v>1000.0</v>
      </c>
      <c r="B128" s="24" t="str">
        <f t="shared" ref="B128:B134" si="4">B127*10</f>
        <v>10240</v>
      </c>
      <c r="C128" s="30">
        <v>5.937</v>
      </c>
      <c r="D128" s="30">
        <v>17.237</v>
      </c>
      <c r="E128" s="29">
        <v>6.504</v>
      </c>
      <c r="F128" s="29">
        <v>20.789</v>
      </c>
      <c r="G128" s="30">
        <v>5.604</v>
      </c>
      <c r="H128" s="30">
        <v>18.361</v>
      </c>
      <c r="I128" s="29">
        <v>6.666</v>
      </c>
      <c r="J128" s="29">
        <v>19.291</v>
      </c>
      <c r="K128" s="24"/>
      <c r="L128" s="24"/>
      <c r="M128" s="13"/>
      <c r="N128" s="24"/>
    </row>
    <row r="129">
      <c r="A129" s="24">
        <v>1000.0</v>
      </c>
      <c r="B129" s="24" t="str">
        <f t="shared" si="4"/>
        <v>102400</v>
      </c>
      <c r="C129" s="30">
        <v>12.686</v>
      </c>
      <c r="D129" s="30">
        <v>25.411</v>
      </c>
      <c r="E129" s="29">
        <v>12.415</v>
      </c>
      <c r="F129" s="29">
        <v>27.981</v>
      </c>
      <c r="G129" s="30">
        <v>12.043</v>
      </c>
      <c r="H129" s="30">
        <v>20.518</v>
      </c>
      <c r="I129" s="29">
        <v>12.119</v>
      </c>
      <c r="J129" s="29">
        <v>29.485</v>
      </c>
      <c r="K129" s="24"/>
      <c r="L129" s="24"/>
      <c r="M129" s="13"/>
      <c r="N129" s="24"/>
    </row>
    <row r="130">
      <c r="A130" s="24">
        <v>1000.0</v>
      </c>
      <c r="B130" s="24" t="str">
        <f t="shared" si="4"/>
        <v>1024000</v>
      </c>
      <c r="C130" s="30">
        <v>17.044</v>
      </c>
      <c r="D130" s="30">
        <v>86.712</v>
      </c>
      <c r="E130" s="29">
        <v>16.495</v>
      </c>
      <c r="F130" s="29">
        <v>86.951</v>
      </c>
      <c r="G130" s="30">
        <v>17.436</v>
      </c>
      <c r="H130" s="30">
        <v>85.243</v>
      </c>
      <c r="I130" s="29">
        <v>18.463</v>
      </c>
      <c r="J130" s="29">
        <v>90.717</v>
      </c>
      <c r="K130" s="24"/>
      <c r="L130" s="24"/>
      <c r="M130" s="13"/>
      <c r="N130" s="24"/>
    </row>
    <row r="131">
      <c r="A131" s="24">
        <v>1000.0</v>
      </c>
      <c r="B131" s="24" t="str">
        <f t="shared" si="4"/>
        <v>10240000</v>
      </c>
      <c r="C131" s="30">
        <v>121.893</v>
      </c>
      <c r="D131" s="30">
        <v>341.163</v>
      </c>
      <c r="E131" s="29">
        <v>122.931</v>
      </c>
      <c r="F131" s="29">
        <v>341.841</v>
      </c>
      <c r="G131" s="30">
        <v>121.569</v>
      </c>
      <c r="H131" s="30">
        <v>337.63</v>
      </c>
      <c r="I131" s="29">
        <v>127.992</v>
      </c>
      <c r="J131" s="29">
        <v>327.543</v>
      </c>
      <c r="K131" s="24"/>
      <c r="L131" s="24"/>
      <c r="M131" s="13"/>
      <c r="N131" s="24"/>
    </row>
    <row r="132">
      <c r="A132" s="24">
        <v>100.0</v>
      </c>
      <c r="B132" s="24" t="str">
        <f t="shared" si="4"/>
        <v>102400000</v>
      </c>
      <c r="C132" s="30">
        <v>132.392</v>
      </c>
      <c r="D132" s="30">
        <v>186.047</v>
      </c>
      <c r="E132" s="29">
        <v>126.895</v>
      </c>
      <c r="F132" s="29">
        <v>188.923</v>
      </c>
      <c r="G132" s="30">
        <v>150.087</v>
      </c>
      <c r="H132" s="30">
        <v>185.132</v>
      </c>
      <c r="I132" s="29">
        <v>141.787</v>
      </c>
      <c r="J132" s="29">
        <v>187.317</v>
      </c>
      <c r="K132" s="24"/>
      <c r="L132" s="24"/>
      <c r="M132" s="13"/>
      <c r="N132" s="24"/>
    </row>
    <row r="133">
      <c r="A133" s="24">
        <v>10.0</v>
      </c>
      <c r="B133" s="24" t="str">
        <f t="shared" si="4"/>
        <v>1024000000</v>
      </c>
      <c r="C133" s="30">
        <v>129.965</v>
      </c>
      <c r="D133" s="30">
        <v>126.534</v>
      </c>
      <c r="E133" s="29">
        <v>126.411</v>
      </c>
      <c r="F133" s="29">
        <v>126.935</v>
      </c>
      <c r="G133" s="30">
        <v>125.705</v>
      </c>
      <c r="H133" s="30">
        <v>126.361</v>
      </c>
      <c r="I133" s="29">
        <v>156.278</v>
      </c>
      <c r="J133" s="29">
        <v>127.009</v>
      </c>
      <c r="K133" s="24"/>
      <c r="L133" s="24"/>
      <c r="M133" s="13"/>
      <c r="N133" s="24"/>
    </row>
    <row r="134">
      <c r="A134" s="24">
        <v>1.0</v>
      </c>
      <c r="B134" s="24" t="str">
        <f t="shared" si="4"/>
        <v>10240000000</v>
      </c>
      <c r="C134" s="30">
        <v>133.006</v>
      </c>
      <c r="D134" s="30">
        <v>201.439</v>
      </c>
      <c r="E134" s="29">
        <v>126.512</v>
      </c>
      <c r="F134" s="29">
        <v>204.552</v>
      </c>
      <c r="G134" s="33">
        <v>124.609</v>
      </c>
      <c r="H134" s="30">
        <v>234.156</v>
      </c>
      <c r="I134" s="29">
        <v>138.816</v>
      </c>
      <c r="J134" s="29">
        <v>219.785</v>
      </c>
      <c r="K134" s="24"/>
      <c r="L134" s="24"/>
      <c r="M134" s="13"/>
      <c r="N134" s="24"/>
    </row>
    <row r="137">
      <c r="A137" s="20" t="s">
        <v>41</v>
      </c>
      <c r="B137" s="20" t="s">
        <v>42</v>
      </c>
      <c r="C137" s="21" t="s">
        <v>43</v>
      </c>
      <c r="D137" s="8"/>
      <c r="E137" s="22" t="s">
        <v>44</v>
      </c>
      <c r="F137" s="8"/>
    </row>
    <row r="138">
      <c r="A138" s="24"/>
      <c r="B138" s="24"/>
      <c r="C138" s="25" t="s">
        <v>16</v>
      </c>
      <c r="D138" s="25" t="s">
        <v>0</v>
      </c>
      <c r="E138" s="26" t="s">
        <v>16</v>
      </c>
      <c r="F138" s="26" t="s">
        <v>0</v>
      </c>
    </row>
    <row r="139">
      <c r="A139" s="24">
        <v>10000.0</v>
      </c>
      <c r="B139" s="24">
        <v>0.0</v>
      </c>
      <c r="C139" s="28">
        <v>28.519</v>
      </c>
      <c r="D139" s="28">
        <v>222.087</v>
      </c>
      <c r="E139" s="29">
        <v>29.153</v>
      </c>
      <c r="F139" s="29">
        <v>195.45</v>
      </c>
    </row>
    <row r="140">
      <c r="A140" s="24">
        <v>10000.0</v>
      </c>
      <c r="B140" s="24">
        <v>1024.0</v>
      </c>
      <c r="C140" s="30">
        <v>55.942</v>
      </c>
      <c r="D140" s="30">
        <v>217.456</v>
      </c>
      <c r="E140" s="29">
        <v>63.398</v>
      </c>
      <c r="F140" s="29">
        <v>223.378</v>
      </c>
    </row>
    <row r="141">
      <c r="A141" s="24">
        <v>1000.0</v>
      </c>
      <c r="B141" s="24" t="str">
        <f t="shared" ref="B141:B147" si="5">B140*10</f>
        <v>10240</v>
      </c>
      <c r="C141" s="30">
        <v>5.724</v>
      </c>
      <c r="D141" s="30">
        <v>16.067</v>
      </c>
      <c r="E141" s="29">
        <v>6.119</v>
      </c>
      <c r="F141" s="29">
        <v>19.628</v>
      </c>
    </row>
    <row r="142">
      <c r="A142" s="24">
        <v>1000.0</v>
      </c>
      <c r="B142" s="24" t="str">
        <f t="shared" si="5"/>
        <v>102400</v>
      </c>
      <c r="C142" s="30">
        <v>11.849</v>
      </c>
      <c r="D142" s="30">
        <v>26.245</v>
      </c>
      <c r="E142" s="29">
        <v>11.278</v>
      </c>
      <c r="F142" s="29">
        <v>21.607</v>
      </c>
    </row>
    <row r="143">
      <c r="A143" s="24">
        <v>1000.0</v>
      </c>
      <c r="B143" s="24" t="str">
        <f t="shared" si="5"/>
        <v>1024000</v>
      </c>
      <c r="C143" s="30">
        <v>17.631</v>
      </c>
      <c r="D143" s="30">
        <v>33.347</v>
      </c>
      <c r="E143" s="29">
        <v>17.61</v>
      </c>
      <c r="F143" s="29">
        <v>29.641</v>
      </c>
    </row>
    <row r="144">
      <c r="A144" s="24">
        <v>1000.0</v>
      </c>
      <c r="B144" s="24" t="str">
        <f t="shared" si="5"/>
        <v>10240000</v>
      </c>
      <c r="C144" s="30">
        <v>131.119</v>
      </c>
      <c r="D144" s="30">
        <v>151.608</v>
      </c>
      <c r="E144" s="29">
        <v>122.381</v>
      </c>
      <c r="F144" s="29">
        <v>145.038</v>
      </c>
    </row>
    <row r="145">
      <c r="A145" s="24">
        <v>100.0</v>
      </c>
      <c r="B145" s="24" t="str">
        <f t="shared" si="5"/>
        <v>102400000</v>
      </c>
      <c r="C145" s="30">
        <v>139.527</v>
      </c>
      <c r="D145" s="30">
        <v>132.859</v>
      </c>
      <c r="E145" s="29">
        <v>129.096</v>
      </c>
      <c r="F145" s="29">
        <v>129.585</v>
      </c>
    </row>
    <row r="146">
      <c r="A146" s="24">
        <v>10.0</v>
      </c>
      <c r="B146" s="24" t="str">
        <f t="shared" si="5"/>
        <v>1024000000</v>
      </c>
      <c r="C146" s="30">
        <v>137.63</v>
      </c>
      <c r="D146" s="30">
        <v>126.504</v>
      </c>
      <c r="E146" s="29">
        <v>145.706</v>
      </c>
      <c r="F146" s="29">
        <v>126.657</v>
      </c>
    </row>
    <row r="147">
      <c r="A147" s="24">
        <v>1.0</v>
      </c>
      <c r="B147" s="24" t="str">
        <f t="shared" si="5"/>
        <v>10240000000</v>
      </c>
      <c r="C147" s="30">
        <v>145.995</v>
      </c>
      <c r="D147" s="30">
        <v>234.793</v>
      </c>
      <c r="E147" s="29">
        <v>127.88</v>
      </c>
      <c r="F147" s="29">
        <v>224.634</v>
      </c>
    </row>
    <row r="149">
      <c r="A149" s="20" t="s">
        <v>41</v>
      </c>
      <c r="B149" s="20" t="s">
        <v>42</v>
      </c>
      <c r="C149" s="21" t="s">
        <v>43</v>
      </c>
      <c r="D149" s="8"/>
    </row>
    <row r="150">
      <c r="A150" s="24"/>
      <c r="B150" s="24"/>
      <c r="C150" s="25" t="s">
        <v>16</v>
      </c>
      <c r="D150" s="25" t="s">
        <v>0</v>
      </c>
    </row>
    <row r="151">
      <c r="A151" s="24">
        <v>10000.0</v>
      </c>
      <c r="B151" s="24">
        <v>0.0</v>
      </c>
      <c r="C151" s="172">
        <v>30.129</v>
      </c>
      <c r="D151" s="172">
        <v>191.233</v>
      </c>
    </row>
    <row r="152">
      <c r="A152" s="24">
        <v>10000.0</v>
      </c>
      <c r="B152" s="24">
        <v>1024.0</v>
      </c>
      <c r="C152" s="172">
        <v>54.533</v>
      </c>
      <c r="D152" s="172">
        <v>263.495</v>
      </c>
    </row>
    <row r="153">
      <c r="A153" s="24">
        <v>1000.0</v>
      </c>
      <c r="B153" s="24" t="str">
        <f t="shared" ref="B153:B159" si="6">B152*10</f>
        <v>10240</v>
      </c>
      <c r="C153" s="172">
        <v>6.466</v>
      </c>
      <c r="D153" s="172">
        <v>21.373</v>
      </c>
    </row>
    <row r="154">
      <c r="A154" s="24">
        <v>1000.0</v>
      </c>
      <c r="B154" s="24" t="str">
        <f t="shared" si="6"/>
        <v>102400</v>
      </c>
      <c r="C154" s="172">
        <v>11.893</v>
      </c>
      <c r="D154" s="172">
        <v>23.592</v>
      </c>
    </row>
    <row r="155">
      <c r="A155" s="24">
        <v>1000.0</v>
      </c>
      <c r="B155" s="24" t="str">
        <f t="shared" si="6"/>
        <v>1024000</v>
      </c>
      <c r="C155" s="172">
        <v>17.459</v>
      </c>
      <c r="D155" s="172">
        <v>30.909</v>
      </c>
    </row>
    <row r="156">
      <c r="A156" s="24">
        <v>1000.0</v>
      </c>
      <c r="B156" s="24" t="str">
        <f t="shared" si="6"/>
        <v>10240000</v>
      </c>
      <c r="C156" s="172">
        <v>132.97</v>
      </c>
      <c r="D156" s="172">
        <v>143.714</v>
      </c>
    </row>
    <row r="157">
      <c r="A157" s="24">
        <v>100.0</v>
      </c>
      <c r="B157" s="24" t="str">
        <f t="shared" si="6"/>
        <v>102400000</v>
      </c>
      <c r="C157" s="172">
        <v>135.198</v>
      </c>
      <c r="D157" s="172">
        <v>129.698</v>
      </c>
    </row>
    <row r="158">
      <c r="A158" s="24">
        <v>10.0</v>
      </c>
      <c r="B158" s="24" t="str">
        <f t="shared" si="6"/>
        <v>1024000000</v>
      </c>
      <c r="C158" s="172">
        <v>139.35</v>
      </c>
      <c r="D158" s="172">
        <v>126.597</v>
      </c>
    </row>
    <row r="159">
      <c r="A159" s="24">
        <v>1.0</v>
      </c>
      <c r="B159" s="24" t="str">
        <f t="shared" si="6"/>
        <v>10240000000</v>
      </c>
      <c r="C159" s="172">
        <v>134.146</v>
      </c>
      <c r="D159" s="172">
        <v>233.083</v>
      </c>
    </row>
    <row r="162">
      <c r="A162" s="27" t="s">
        <v>5</v>
      </c>
      <c r="F162" s="27" t="s">
        <v>50</v>
      </c>
    </row>
    <row r="163">
      <c r="A163" s="20" t="s">
        <v>41</v>
      </c>
      <c r="B163" s="20" t="s">
        <v>42</v>
      </c>
      <c r="C163" s="21" t="s">
        <v>43</v>
      </c>
      <c r="D163" s="8"/>
      <c r="F163" s="233"/>
      <c r="G163" s="234" t="s">
        <v>41</v>
      </c>
      <c r="H163" s="234" t="s">
        <v>42</v>
      </c>
      <c r="I163" s="36" t="s">
        <v>671</v>
      </c>
      <c r="J163" s="37"/>
      <c r="K163" s="27" t="s">
        <v>672</v>
      </c>
    </row>
    <row r="164">
      <c r="A164" s="24"/>
      <c r="B164" s="24"/>
      <c r="C164" s="25" t="s">
        <v>16</v>
      </c>
      <c r="D164" s="25" t="s">
        <v>0</v>
      </c>
      <c r="F164" s="235"/>
      <c r="G164" s="236"/>
      <c r="H164" s="236"/>
      <c r="I164" s="237" t="s">
        <v>16</v>
      </c>
      <c r="J164" s="238" t="s">
        <v>0</v>
      </c>
      <c r="K164" s="27" t="s">
        <v>16</v>
      </c>
      <c r="L164" s="27" t="s">
        <v>0</v>
      </c>
    </row>
    <row r="165">
      <c r="A165" s="24">
        <v>10000.0</v>
      </c>
      <c r="B165" s="24">
        <v>0.0</v>
      </c>
      <c r="C165" s="172">
        <v>30.129</v>
      </c>
      <c r="D165" s="172">
        <v>191.233</v>
      </c>
      <c r="F165" s="239" t="s">
        <v>91</v>
      </c>
      <c r="G165" s="240">
        <v>10000.0</v>
      </c>
      <c r="H165" s="240">
        <v>0.0</v>
      </c>
      <c r="I165" s="241">
        <v>2127.356</v>
      </c>
      <c r="J165" s="242">
        <v>476.448</v>
      </c>
      <c r="K165" t="str">
        <f t="shared" ref="K165:L165" si="7">I165/C165</f>
        <v>70.60825119</v>
      </c>
      <c r="L165" t="str">
        <f t="shared" si="7"/>
        <v>2.491452835</v>
      </c>
    </row>
    <row r="166">
      <c r="A166" s="24">
        <v>10000.0</v>
      </c>
      <c r="B166" s="24">
        <v>1024.0</v>
      </c>
      <c r="C166" s="172">
        <v>54.533</v>
      </c>
      <c r="D166" s="172">
        <v>263.495</v>
      </c>
      <c r="F166" s="239" t="s">
        <v>82</v>
      </c>
      <c r="G166" s="240">
        <v>10000.0</v>
      </c>
      <c r="H166" s="240">
        <v>1024.0</v>
      </c>
      <c r="I166" s="243">
        <v>2939.896</v>
      </c>
      <c r="J166" s="243">
        <v>788.488</v>
      </c>
      <c r="K166" t="str">
        <f t="shared" ref="K166:L166" si="8">I166/C166</f>
        <v>53.91040288</v>
      </c>
      <c r="L166" t="str">
        <f t="shared" si="8"/>
        <v>2.992421109</v>
      </c>
    </row>
    <row r="167">
      <c r="A167" s="24">
        <v>1000.0</v>
      </c>
      <c r="B167" s="24" t="str">
        <f t="shared" ref="B167:B173" si="10">B166*10</f>
        <v>10240</v>
      </c>
      <c r="C167" s="172">
        <v>6.466</v>
      </c>
      <c r="D167" s="172">
        <v>21.373</v>
      </c>
      <c r="F167" s="239" t="s">
        <v>83</v>
      </c>
      <c r="G167" s="240">
        <v>1000.0</v>
      </c>
      <c r="H167" s="240">
        <v>10240.0</v>
      </c>
      <c r="I167" s="244">
        <v>312.25</v>
      </c>
      <c r="J167" s="243">
        <v>104.212</v>
      </c>
      <c r="K167" t="str">
        <f t="shared" ref="K167:L167" si="9">I167/C167</f>
        <v>48.29106093</v>
      </c>
      <c r="L167" t="str">
        <f t="shared" si="9"/>
        <v>4.875871427</v>
      </c>
    </row>
    <row r="168">
      <c r="A168" s="24">
        <v>1000.0</v>
      </c>
      <c r="B168" s="24" t="str">
        <f t="shared" si="10"/>
        <v>102400</v>
      </c>
      <c r="C168" s="172">
        <v>11.893</v>
      </c>
      <c r="D168" s="172">
        <v>23.592</v>
      </c>
      <c r="F168" s="239" t="s">
        <v>84</v>
      </c>
      <c r="G168" s="240">
        <v>1000.0</v>
      </c>
      <c r="H168" s="240">
        <v>102400.0</v>
      </c>
      <c r="I168" s="244">
        <v>369.643</v>
      </c>
      <c r="J168" s="243">
        <v>118.061</v>
      </c>
      <c r="K168" t="str">
        <f t="shared" ref="K168:L168" si="11">I168/C168</f>
        <v>31.08071975</v>
      </c>
      <c r="L168" t="str">
        <f t="shared" si="11"/>
        <v>5.004281112</v>
      </c>
    </row>
    <row r="169">
      <c r="A169" s="24">
        <v>1000.0</v>
      </c>
      <c r="B169" s="24" t="str">
        <f t="shared" si="10"/>
        <v>1024000</v>
      </c>
      <c r="C169" s="172">
        <v>17.459</v>
      </c>
      <c r="D169" s="172">
        <v>30.909</v>
      </c>
      <c r="F169" s="239" t="s">
        <v>85</v>
      </c>
      <c r="G169" s="240">
        <v>1000.0</v>
      </c>
      <c r="H169" s="240">
        <v>1024000.0</v>
      </c>
      <c r="I169" s="244">
        <v>439.747</v>
      </c>
      <c r="J169" s="243">
        <v>138.381</v>
      </c>
      <c r="K169" t="str">
        <f t="shared" ref="K169:L169" si="12">I169/C169</f>
        <v>25.1874105</v>
      </c>
      <c r="L169" t="str">
        <f t="shared" si="12"/>
        <v>4.477045521</v>
      </c>
    </row>
    <row r="170">
      <c r="A170" s="24">
        <v>1000.0</v>
      </c>
      <c r="B170" s="24" t="str">
        <f t="shared" si="10"/>
        <v>10240000</v>
      </c>
      <c r="C170" s="172">
        <v>132.97</v>
      </c>
      <c r="D170" s="172">
        <v>143.714</v>
      </c>
      <c r="F170" s="239" t="s">
        <v>86</v>
      </c>
      <c r="G170" s="240">
        <v>1000.0</v>
      </c>
      <c r="H170" s="240">
        <v>1.024E7</v>
      </c>
      <c r="I170" s="244">
        <v>1285.966</v>
      </c>
      <c r="J170" s="243">
        <v>267.105</v>
      </c>
      <c r="K170" t="str">
        <f t="shared" ref="K170:L170" si="13">I170/C170</f>
        <v>9.671098744</v>
      </c>
      <c r="L170" t="str">
        <f t="shared" si="13"/>
        <v>1.858587194</v>
      </c>
    </row>
    <row r="171">
      <c r="A171" s="24">
        <v>100.0</v>
      </c>
      <c r="B171" s="24" t="str">
        <f t="shared" si="10"/>
        <v>102400000</v>
      </c>
      <c r="C171" s="172">
        <v>135.198</v>
      </c>
      <c r="D171" s="172">
        <v>129.698</v>
      </c>
      <c r="F171" s="239" t="s">
        <v>87</v>
      </c>
      <c r="G171" s="240">
        <v>100.0</v>
      </c>
      <c r="H171" s="240">
        <v>1.024E8</v>
      </c>
      <c r="I171" s="244">
        <v>839.861</v>
      </c>
      <c r="J171" s="243">
        <v>120.132</v>
      </c>
      <c r="K171" t="str">
        <f t="shared" ref="K171:L171" si="14">I171/C171</f>
        <v>6.21208154</v>
      </c>
      <c r="L171" t="str">
        <f t="shared" si="14"/>
        <v>0.9262440439</v>
      </c>
    </row>
    <row r="172">
      <c r="A172" s="24">
        <v>10.0</v>
      </c>
      <c r="B172" s="24" t="str">
        <f t="shared" si="10"/>
        <v>1024000000</v>
      </c>
      <c r="C172" s="172">
        <v>139.35</v>
      </c>
      <c r="D172" s="172">
        <v>126.597</v>
      </c>
      <c r="F172" s="239" t="s">
        <v>88</v>
      </c>
      <c r="G172" s="240">
        <v>10.0</v>
      </c>
      <c r="H172" s="240">
        <v>1.024E9</v>
      </c>
      <c r="I172" s="244">
        <v>714.952</v>
      </c>
      <c r="J172" s="243">
        <v>152.89</v>
      </c>
      <c r="K172" t="str">
        <f t="shared" ref="K172:L172" si="15">I172/C172</f>
        <v>5.130620739</v>
      </c>
      <c r="L172" t="str">
        <f t="shared" si="15"/>
        <v>1.207690546</v>
      </c>
    </row>
    <row r="173">
      <c r="A173" s="24">
        <v>1.0</v>
      </c>
      <c r="B173" s="24" t="str">
        <f t="shared" si="10"/>
        <v>10240000000</v>
      </c>
      <c r="C173" s="172">
        <v>134.146</v>
      </c>
      <c r="D173" s="172">
        <v>233.083</v>
      </c>
      <c r="F173" s="239" t="s">
        <v>89</v>
      </c>
      <c r="G173" s="240">
        <v>1.0</v>
      </c>
      <c r="H173" s="240">
        <v>1.024E10</v>
      </c>
      <c r="I173" s="244">
        <v>1128.058</v>
      </c>
      <c r="J173" s="243">
        <v>136.799</v>
      </c>
      <c r="K173" t="str">
        <f t="shared" ref="K173:L173" si="16">I173/C173</f>
        <v>8.409181042</v>
      </c>
      <c r="L173" t="str">
        <f t="shared" si="16"/>
        <v>0.5869111003</v>
      </c>
    </row>
    <row r="176">
      <c r="A176" s="20" t="s">
        <v>41</v>
      </c>
      <c r="B176" s="20" t="s">
        <v>42</v>
      </c>
      <c r="C176" s="21" t="s">
        <v>43</v>
      </c>
      <c r="D176" s="8"/>
      <c r="E176" s="22" t="s">
        <v>44</v>
      </c>
      <c r="F176" s="8"/>
      <c r="G176" s="23" t="s">
        <v>45</v>
      </c>
      <c r="H176" s="8"/>
      <c r="I176" s="22" t="s">
        <v>46</v>
      </c>
      <c r="J176" s="8"/>
      <c r="K176" s="21" t="s">
        <v>96</v>
      </c>
      <c r="L176" s="8"/>
      <c r="M176" s="22" t="s">
        <v>97</v>
      </c>
      <c r="N176" s="8"/>
      <c r="O176" s="23" t="s">
        <v>98</v>
      </c>
      <c r="P176" s="8"/>
      <c r="Q176" s="22" t="s">
        <v>99</v>
      </c>
      <c r="R176" s="8"/>
      <c r="S176" s="21" t="s">
        <v>100</v>
      </c>
      <c r="T176" s="8"/>
      <c r="U176" s="22" t="s">
        <v>101</v>
      </c>
      <c r="V176" s="8"/>
      <c r="W176" s="23" t="s">
        <v>102</v>
      </c>
      <c r="X176" s="8"/>
      <c r="Y176" s="22" t="s">
        <v>103</v>
      </c>
      <c r="Z176" s="8"/>
      <c r="AA176" s="21" t="s">
        <v>104</v>
      </c>
      <c r="AB176" s="8"/>
      <c r="AC176" s="22" t="s">
        <v>105</v>
      </c>
      <c r="AD176" s="8"/>
      <c r="AE176" s="23" t="s">
        <v>106</v>
      </c>
      <c r="AF176" s="8"/>
      <c r="AG176" s="22" t="s">
        <v>107</v>
      </c>
      <c r="AH176" s="8"/>
      <c r="AI176" s="245"/>
      <c r="AJ176" s="245"/>
      <c r="AK176" s="245"/>
      <c r="AL176" s="245"/>
    </row>
    <row r="177">
      <c r="A177" s="24"/>
      <c r="B177" s="24"/>
      <c r="C177" s="25" t="s">
        <v>16</v>
      </c>
      <c r="D177" s="25" t="s">
        <v>0</v>
      </c>
      <c r="E177" s="26" t="s">
        <v>16</v>
      </c>
      <c r="F177" s="26" t="s">
        <v>0</v>
      </c>
      <c r="G177" s="25" t="s">
        <v>16</v>
      </c>
      <c r="H177" s="25" t="s">
        <v>0</v>
      </c>
      <c r="I177" s="26" t="s">
        <v>16</v>
      </c>
      <c r="J177" s="26" t="s">
        <v>0</v>
      </c>
      <c r="K177" s="25" t="s">
        <v>16</v>
      </c>
      <c r="L177" s="25" t="s">
        <v>0</v>
      </c>
      <c r="M177" s="26" t="s">
        <v>16</v>
      </c>
      <c r="N177" s="26" t="s">
        <v>0</v>
      </c>
      <c r="O177" s="25" t="s">
        <v>16</v>
      </c>
      <c r="P177" s="25" t="s">
        <v>0</v>
      </c>
      <c r="Q177" s="26" t="s">
        <v>16</v>
      </c>
      <c r="R177" s="26" t="s">
        <v>0</v>
      </c>
      <c r="S177" s="25" t="s">
        <v>16</v>
      </c>
      <c r="T177" s="25" t="s">
        <v>0</v>
      </c>
      <c r="U177" s="26" t="s">
        <v>16</v>
      </c>
      <c r="V177" s="26" t="s">
        <v>0</v>
      </c>
      <c r="W177" s="25" t="s">
        <v>16</v>
      </c>
      <c r="X177" s="25" t="s">
        <v>0</v>
      </c>
      <c r="Y177" s="26" t="s">
        <v>16</v>
      </c>
      <c r="Z177" s="26" t="s">
        <v>0</v>
      </c>
      <c r="AA177" s="25" t="s">
        <v>16</v>
      </c>
      <c r="AB177" s="25" t="s">
        <v>0</v>
      </c>
      <c r="AC177" s="26" t="s">
        <v>16</v>
      </c>
      <c r="AD177" s="26" t="s">
        <v>0</v>
      </c>
      <c r="AE177" s="25" t="s">
        <v>16</v>
      </c>
      <c r="AF177" s="25" t="s">
        <v>0</v>
      </c>
      <c r="AG177" s="26" t="s">
        <v>16</v>
      </c>
      <c r="AH177" s="26" t="s">
        <v>0</v>
      </c>
      <c r="AI177" s="246"/>
      <c r="AJ177" s="246"/>
      <c r="AK177" s="246"/>
      <c r="AL177" s="246"/>
    </row>
    <row r="178">
      <c r="A178" s="24">
        <v>10000.0</v>
      </c>
      <c r="B178" s="24">
        <v>0.0</v>
      </c>
      <c r="C178" s="28">
        <v>30.98</v>
      </c>
      <c r="D178" s="28">
        <v>215.636</v>
      </c>
      <c r="E178" s="29">
        <v>27.534</v>
      </c>
      <c r="F178" s="29">
        <v>216.367</v>
      </c>
      <c r="G178" s="30">
        <v>26.913</v>
      </c>
      <c r="H178" s="30">
        <v>200.375</v>
      </c>
      <c r="I178" s="31">
        <v>30.953</v>
      </c>
      <c r="J178" s="31">
        <v>224.113</v>
      </c>
      <c r="K178" s="33">
        <v>33.166</v>
      </c>
      <c r="L178" s="33">
        <v>220.146</v>
      </c>
      <c r="M178" s="155">
        <v>25.567</v>
      </c>
      <c r="N178" s="155">
        <v>209.298</v>
      </c>
      <c r="O178" s="33">
        <v>31.489</v>
      </c>
      <c r="P178" s="33">
        <v>210.384</v>
      </c>
      <c r="Q178" s="155">
        <v>28.087</v>
      </c>
      <c r="R178" s="155">
        <v>203.023</v>
      </c>
      <c r="S178" s="33">
        <v>32.318</v>
      </c>
      <c r="T178" s="33">
        <v>217.942</v>
      </c>
      <c r="U178" s="155">
        <v>28.957</v>
      </c>
      <c r="V178" s="155">
        <v>206.53</v>
      </c>
      <c r="W178" s="33">
        <v>28.653</v>
      </c>
      <c r="X178" s="33">
        <v>217.658</v>
      </c>
      <c r="Y178" s="155">
        <v>28.199</v>
      </c>
      <c r="Z178" s="155">
        <v>203.603</v>
      </c>
      <c r="AA178" s="28">
        <v>33.772</v>
      </c>
      <c r="AB178" s="28">
        <v>211.984</v>
      </c>
      <c r="AC178" s="29">
        <v>28.723</v>
      </c>
      <c r="AD178" s="29">
        <v>210.8</v>
      </c>
      <c r="AE178" s="30">
        <v>29.564</v>
      </c>
      <c r="AF178" s="30">
        <v>193.169</v>
      </c>
      <c r="AG178" s="31">
        <v>30.669</v>
      </c>
      <c r="AH178" s="31">
        <v>208.832</v>
      </c>
      <c r="AI178" s="155"/>
      <c r="AJ178" s="155"/>
      <c r="AK178" s="155"/>
      <c r="AL178" s="155"/>
    </row>
    <row r="179">
      <c r="A179" s="24">
        <v>10000.0</v>
      </c>
      <c r="B179" s="24">
        <v>1024.0</v>
      </c>
      <c r="C179" s="30">
        <v>59.579</v>
      </c>
      <c r="D179" s="30">
        <v>241.015</v>
      </c>
      <c r="E179" s="29">
        <v>61.201</v>
      </c>
      <c r="F179" s="29">
        <v>242.896</v>
      </c>
      <c r="G179" s="30"/>
      <c r="H179" s="30"/>
      <c r="I179" s="29">
        <v>62.089</v>
      </c>
      <c r="J179" s="29">
        <v>230.655</v>
      </c>
      <c r="K179" s="33">
        <v>60.218</v>
      </c>
      <c r="L179" s="33">
        <v>232.274</v>
      </c>
      <c r="M179" s="156"/>
      <c r="N179" s="156"/>
      <c r="O179" s="157"/>
      <c r="P179" s="157"/>
      <c r="Q179" s="156"/>
      <c r="R179" s="156"/>
      <c r="S179" s="157"/>
      <c r="T179" s="157"/>
      <c r="U179" s="156"/>
      <c r="V179" s="156"/>
      <c r="W179" s="157"/>
      <c r="X179" s="157"/>
      <c r="Y179" s="155">
        <v>64.244</v>
      </c>
      <c r="Z179" s="155">
        <v>236.725</v>
      </c>
      <c r="AA179" s="30"/>
      <c r="AB179" s="30"/>
      <c r="AC179" s="29"/>
      <c r="AD179" s="29"/>
      <c r="AE179" s="30"/>
      <c r="AF179" s="30"/>
      <c r="AG179" s="29"/>
      <c r="AH179" s="29"/>
      <c r="AI179" s="155"/>
      <c r="AJ179" s="155"/>
      <c r="AK179" s="155"/>
      <c r="AL179" s="155"/>
    </row>
    <row r="180">
      <c r="A180" s="24">
        <v>1000.0</v>
      </c>
      <c r="B180" s="24" t="str">
        <f t="shared" ref="B180:B186" si="17">B179*10</f>
        <v>10240</v>
      </c>
      <c r="C180" s="30">
        <v>7.406</v>
      </c>
      <c r="D180" s="30">
        <v>21.952</v>
      </c>
      <c r="E180" s="29">
        <v>10.392</v>
      </c>
      <c r="F180" s="29">
        <v>20.83</v>
      </c>
      <c r="G180" s="30">
        <v>8.017</v>
      </c>
      <c r="H180" s="30">
        <v>24.194</v>
      </c>
      <c r="I180" s="29">
        <v>8.96</v>
      </c>
      <c r="J180" s="29">
        <v>22.152</v>
      </c>
      <c r="K180" s="33">
        <v>9.04</v>
      </c>
      <c r="L180" s="33">
        <v>23.74</v>
      </c>
      <c r="M180" s="155">
        <v>6.706</v>
      </c>
      <c r="N180" s="155">
        <v>23.844</v>
      </c>
      <c r="O180" s="33">
        <v>8.097</v>
      </c>
      <c r="P180" s="33">
        <v>25.019</v>
      </c>
      <c r="Q180" s="155">
        <v>6.561</v>
      </c>
      <c r="R180" s="155">
        <v>22.435</v>
      </c>
      <c r="S180" s="33">
        <v>7.509</v>
      </c>
      <c r="T180" s="33">
        <v>22.411</v>
      </c>
      <c r="U180" s="155">
        <v>7.026</v>
      </c>
      <c r="V180" s="155">
        <v>21.922</v>
      </c>
      <c r="W180" s="33">
        <v>6.347</v>
      </c>
      <c r="X180" s="33">
        <v>20.171</v>
      </c>
      <c r="Y180" s="155">
        <v>7.982</v>
      </c>
      <c r="Z180" s="155">
        <v>20.977</v>
      </c>
      <c r="AA180" s="30">
        <v>7.138</v>
      </c>
      <c r="AB180" s="30">
        <v>21.042</v>
      </c>
      <c r="AC180" s="156"/>
      <c r="AD180" s="156"/>
      <c r="AE180" s="30">
        <v>8.218</v>
      </c>
      <c r="AF180" s="30">
        <v>20.313</v>
      </c>
      <c r="AG180" s="29">
        <v>8.497</v>
      </c>
      <c r="AH180" s="29">
        <v>24.397</v>
      </c>
      <c r="AI180" s="155"/>
      <c r="AJ180" s="155"/>
      <c r="AK180" s="155"/>
      <c r="AL180" s="155"/>
    </row>
    <row r="181">
      <c r="A181" s="24">
        <v>1000.0</v>
      </c>
      <c r="B181" s="24" t="str">
        <f t="shared" si="17"/>
        <v>102400</v>
      </c>
      <c r="C181" s="30">
        <v>16.051</v>
      </c>
      <c r="D181" s="30">
        <v>27.086</v>
      </c>
      <c r="E181" s="29">
        <v>14.228</v>
      </c>
      <c r="F181" s="29">
        <v>25.983</v>
      </c>
      <c r="G181" s="30">
        <v>13.996</v>
      </c>
      <c r="H181" s="30">
        <v>39.855</v>
      </c>
      <c r="I181" s="29">
        <v>15.249</v>
      </c>
      <c r="J181" s="29">
        <v>27.224</v>
      </c>
      <c r="K181" s="33">
        <v>14.5</v>
      </c>
      <c r="L181" s="33">
        <v>27.207</v>
      </c>
      <c r="M181" s="155">
        <v>14.111</v>
      </c>
      <c r="N181" s="155">
        <v>24.962</v>
      </c>
      <c r="O181" s="33">
        <v>14.13</v>
      </c>
      <c r="P181" s="33">
        <v>27.778</v>
      </c>
      <c r="Q181" s="155">
        <v>14.774</v>
      </c>
      <c r="R181" s="155">
        <v>26.303</v>
      </c>
      <c r="S181" s="33">
        <v>15.033</v>
      </c>
      <c r="T181" s="33">
        <v>28.204</v>
      </c>
      <c r="U181" s="155">
        <v>14.519</v>
      </c>
      <c r="V181" s="155">
        <v>29.832</v>
      </c>
      <c r="W181" s="33">
        <v>14.393</v>
      </c>
      <c r="X181" s="33">
        <v>28.79</v>
      </c>
      <c r="Y181" s="155">
        <v>16.038</v>
      </c>
      <c r="Z181" s="155">
        <v>33.893</v>
      </c>
      <c r="AA181" s="30">
        <v>14.495</v>
      </c>
      <c r="AB181" s="30">
        <v>26.798</v>
      </c>
      <c r="AC181" s="29">
        <v>15.798</v>
      </c>
      <c r="AD181" s="29">
        <v>32.554</v>
      </c>
      <c r="AE181" s="30">
        <v>13.779</v>
      </c>
      <c r="AF181" s="30">
        <v>26.366</v>
      </c>
      <c r="AG181" s="29">
        <v>15.115</v>
      </c>
      <c r="AH181" s="29">
        <v>35.004</v>
      </c>
      <c r="AI181" s="155"/>
      <c r="AJ181" s="155"/>
      <c r="AK181" s="155"/>
      <c r="AL181" s="155"/>
    </row>
    <row r="182">
      <c r="A182" s="24">
        <v>1000.0</v>
      </c>
      <c r="B182" s="24" t="str">
        <f t="shared" si="17"/>
        <v>1024000</v>
      </c>
      <c r="C182" s="30">
        <v>19.017</v>
      </c>
      <c r="D182" s="30">
        <v>81.527</v>
      </c>
      <c r="E182" s="29">
        <v>19.251</v>
      </c>
      <c r="F182" s="29">
        <v>81.845</v>
      </c>
      <c r="G182" s="30">
        <v>19.32</v>
      </c>
      <c r="H182" s="30">
        <v>65.885</v>
      </c>
      <c r="I182" s="29">
        <v>19.141</v>
      </c>
      <c r="J182" s="29">
        <v>78.515</v>
      </c>
      <c r="K182" s="33">
        <v>19.423</v>
      </c>
      <c r="L182" s="33">
        <v>80.156</v>
      </c>
      <c r="M182" s="155">
        <v>21.945</v>
      </c>
      <c r="N182" s="155">
        <v>78.679</v>
      </c>
      <c r="O182" s="33">
        <v>19.807</v>
      </c>
      <c r="P182" s="33">
        <v>64.099</v>
      </c>
      <c r="Q182" s="155">
        <v>20.155</v>
      </c>
      <c r="R182" s="155">
        <v>78.679</v>
      </c>
      <c r="S182" s="33">
        <v>22.775</v>
      </c>
      <c r="T182" s="33">
        <v>58.974</v>
      </c>
      <c r="U182" s="155">
        <v>19.245</v>
      </c>
      <c r="V182" s="155">
        <v>58.086</v>
      </c>
      <c r="W182" s="33">
        <v>22.608</v>
      </c>
      <c r="X182" s="33">
        <v>77.591</v>
      </c>
      <c r="Y182" s="155">
        <v>20.091</v>
      </c>
      <c r="Z182" s="155">
        <v>91.424</v>
      </c>
      <c r="AA182" s="30">
        <v>21.653</v>
      </c>
      <c r="AB182" s="30">
        <v>79.829</v>
      </c>
      <c r="AC182" s="29">
        <v>20.614</v>
      </c>
      <c r="AD182" s="29">
        <v>94.993</v>
      </c>
      <c r="AE182" s="30">
        <v>19.79</v>
      </c>
      <c r="AF182" s="30">
        <v>72.547</v>
      </c>
      <c r="AG182" s="29">
        <v>20.078</v>
      </c>
      <c r="AH182" s="29">
        <v>68.612</v>
      </c>
      <c r="AI182" s="155"/>
      <c r="AJ182" s="155"/>
      <c r="AK182" s="155"/>
      <c r="AL182" s="155"/>
    </row>
    <row r="183">
      <c r="A183" s="24">
        <v>1000.0</v>
      </c>
      <c r="B183" s="24" t="str">
        <f t="shared" si="17"/>
        <v>10240000</v>
      </c>
      <c r="C183" s="30">
        <v>125.636</v>
      </c>
      <c r="D183" s="30">
        <v>155.299</v>
      </c>
      <c r="E183" s="29">
        <v>123.75</v>
      </c>
      <c r="F183" s="29">
        <v>155.317</v>
      </c>
      <c r="G183" s="30">
        <v>131.625</v>
      </c>
      <c r="H183" s="30">
        <v>161.039</v>
      </c>
      <c r="I183" s="29">
        <v>124.247</v>
      </c>
      <c r="J183" s="29">
        <v>187.803</v>
      </c>
      <c r="K183" s="33">
        <v>129.686</v>
      </c>
      <c r="L183" s="33">
        <v>150.981</v>
      </c>
      <c r="M183" s="155">
        <v>126.362</v>
      </c>
      <c r="N183" s="155">
        <v>153.437</v>
      </c>
      <c r="O183" s="33">
        <v>132.076</v>
      </c>
      <c r="P183" s="33">
        <v>153.614</v>
      </c>
      <c r="Q183" s="155">
        <v>147.896</v>
      </c>
      <c r="R183" s="155">
        <v>165.702</v>
      </c>
      <c r="S183" s="33">
        <v>125.226</v>
      </c>
      <c r="T183" s="33">
        <v>157.38</v>
      </c>
      <c r="U183" s="155">
        <v>129.052</v>
      </c>
      <c r="V183" s="155">
        <v>158.827</v>
      </c>
      <c r="W183" s="33">
        <v>125.792</v>
      </c>
      <c r="X183" s="33">
        <v>158.552</v>
      </c>
      <c r="Y183" s="156"/>
      <c r="Z183" s="156"/>
      <c r="AA183" s="30">
        <v>125.935</v>
      </c>
      <c r="AB183" s="30">
        <v>160.153</v>
      </c>
      <c r="AC183" s="29">
        <v>143.27</v>
      </c>
      <c r="AD183" s="29">
        <v>168.723</v>
      </c>
      <c r="AE183" s="30">
        <v>151.653</v>
      </c>
      <c r="AF183" s="30">
        <v>159.511</v>
      </c>
      <c r="AG183" s="29">
        <v>146.337</v>
      </c>
      <c r="AH183" s="29">
        <v>195.179</v>
      </c>
      <c r="AI183" s="156"/>
      <c r="AJ183" s="156"/>
      <c r="AK183" s="156"/>
      <c r="AL183" s="156"/>
    </row>
    <row r="184">
      <c r="A184" s="24">
        <v>100.0</v>
      </c>
      <c r="B184" s="24" t="str">
        <f t="shared" si="17"/>
        <v>102400000</v>
      </c>
      <c r="C184" s="30">
        <v>159.785</v>
      </c>
      <c r="D184" s="30">
        <v>129.961</v>
      </c>
      <c r="E184" s="29">
        <v>137.536</v>
      </c>
      <c r="F184" s="29">
        <v>128.765</v>
      </c>
      <c r="G184" s="30">
        <v>151.076</v>
      </c>
      <c r="H184" s="30">
        <v>131.193</v>
      </c>
      <c r="I184" s="29">
        <v>133.582</v>
      </c>
      <c r="J184" s="29">
        <v>128.947</v>
      </c>
      <c r="K184" s="33">
        <v>153.317</v>
      </c>
      <c r="L184" s="33">
        <v>127.548</v>
      </c>
      <c r="M184" s="155">
        <v>161.707</v>
      </c>
      <c r="N184" s="155">
        <v>130.577</v>
      </c>
      <c r="O184" s="33">
        <v>161.494</v>
      </c>
      <c r="P184" s="33">
        <v>128.312</v>
      </c>
      <c r="Q184" s="155">
        <v>136.584</v>
      </c>
      <c r="R184" s="155">
        <v>133.705</v>
      </c>
      <c r="S184" s="33">
        <v>131.252</v>
      </c>
      <c r="T184" s="33">
        <v>125.549</v>
      </c>
      <c r="U184" s="155">
        <v>165.273</v>
      </c>
      <c r="V184" s="155">
        <v>127.629</v>
      </c>
      <c r="W184" s="33">
        <v>140.449</v>
      </c>
      <c r="X184" s="33">
        <v>138.679</v>
      </c>
      <c r="Y184" s="156"/>
      <c r="Z184" s="156"/>
      <c r="AA184" s="30">
        <v>131.018</v>
      </c>
      <c r="AB184" s="30">
        <v>131.681</v>
      </c>
      <c r="AC184" s="29">
        <v>149.174</v>
      </c>
      <c r="AD184" s="29">
        <v>126.485</v>
      </c>
      <c r="AE184" s="30">
        <v>141.099</v>
      </c>
      <c r="AF184" s="30">
        <v>134.471</v>
      </c>
      <c r="AG184" s="29">
        <v>136.832</v>
      </c>
      <c r="AH184" s="29">
        <v>136.874</v>
      </c>
      <c r="AI184" s="156"/>
      <c r="AJ184" s="156"/>
      <c r="AK184" s="156"/>
      <c r="AL184" s="156"/>
    </row>
    <row r="185">
      <c r="A185" s="24">
        <v>10.0</v>
      </c>
      <c r="B185" s="24" t="str">
        <f t="shared" si="17"/>
        <v>1024000000</v>
      </c>
      <c r="C185" s="30">
        <v>136.866</v>
      </c>
      <c r="D185" s="30">
        <v>126.048</v>
      </c>
      <c r="E185" s="29">
        <v>133.978</v>
      </c>
      <c r="F185" s="29">
        <v>126.55</v>
      </c>
      <c r="G185" s="30">
        <v>138.155</v>
      </c>
      <c r="H185" s="30">
        <v>126.481</v>
      </c>
      <c r="I185" s="29">
        <v>126.434</v>
      </c>
      <c r="J185" s="29">
        <v>125.843</v>
      </c>
      <c r="K185" s="33">
        <v>140.514</v>
      </c>
      <c r="L185" s="33">
        <v>126.112</v>
      </c>
      <c r="M185" s="155">
        <v>141.735</v>
      </c>
      <c r="N185" s="155">
        <v>127.009</v>
      </c>
      <c r="O185" s="33">
        <v>139.597</v>
      </c>
      <c r="P185" s="33">
        <v>125.973</v>
      </c>
      <c r="Q185" s="155">
        <v>137.59</v>
      </c>
      <c r="R185" s="155">
        <v>129.534</v>
      </c>
      <c r="S185" s="33">
        <v>127.229</v>
      </c>
      <c r="T185" s="33">
        <v>126.198</v>
      </c>
      <c r="U185" s="155">
        <v>154.741</v>
      </c>
      <c r="V185" s="155">
        <v>126.534</v>
      </c>
      <c r="W185" s="33">
        <v>129.53</v>
      </c>
      <c r="X185" s="33">
        <v>127.094</v>
      </c>
      <c r="Y185" s="156"/>
      <c r="Z185" s="156"/>
      <c r="AA185" s="30">
        <v>130.05</v>
      </c>
      <c r="AB185" s="30">
        <v>126.561</v>
      </c>
      <c r="AC185" s="29">
        <v>126.05</v>
      </c>
      <c r="AD185" s="29">
        <v>129.793</v>
      </c>
      <c r="AE185" s="30">
        <v>135.359</v>
      </c>
      <c r="AF185" s="30">
        <v>126.137</v>
      </c>
      <c r="AG185" s="29">
        <v>140.299</v>
      </c>
      <c r="AH185" s="29">
        <v>126.616</v>
      </c>
      <c r="AI185" s="156"/>
      <c r="AJ185" s="156"/>
      <c r="AK185" s="156"/>
      <c r="AL185" s="156"/>
    </row>
    <row r="186">
      <c r="A186" s="24">
        <v>1.0</v>
      </c>
      <c r="B186" s="24" t="str">
        <f t="shared" si="17"/>
        <v>10240000000</v>
      </c>
      <c r="C186" s="30">
        <v>142.59</v>
      </c>
      <c r="D186" s="30">
        <v>308.507</v>
      </c>
      <c r="E186" s="29">
        <v>138.647</v>
      </c>
      <c r="F186" s="29">
        <v>335.838</v>
      </c>
      <c r="G186" s="33">
        <v>136.32</v>
      </c>
      <c r="H186" s="30">
        <v>290.784</v>
      </c>
      <c r="I186" s="29">
        <v>126.534</v>
      </c>
      <c r="J186" s="29">
        <v>309.549</v>
      </c>
      <c r="K186" s="33">
        <v>157.674</v>
      </c>
      <c r="L186" s="33">
        <v>290.967</v>
      </c>
      <c r="M186" s="155">
        <v>136.872</v>
      </c>
      <c r="N186" s="155">
        <v>280.405</v>
      </c>
      <c r="O186" s="33">
        <v>143.318</v>
      </c>
      <c r="P186" s="33">
        <v>287.036</v>
      </c>
      <c r="Q186" s="155">
        <v>153.98</v>
      </c>
      <c r="R186" s="155">
        <v>290.1</v>
      </c>
      <c r="S186" s="33">
        <v>137.994</v>
      </c>
      <c r="T186" s="33">
        <v>313.581</v>
      </c>
      <c r="U186" s="155">
        <v>150.324</v>
      </c>
      <c r="V186" s="155">
        <v>285.603</v>
      </c>
      <c r="W186" s="33">
        <v>138.124</v>
      </c>
      <c r="X186" s="33">
        <v>277.889</v>
      </c>
      <c r="Y186" s="155">
        <v>137.61</v>
      </c>
      <c r="Z186" s="155">
        <v>292.365</v>
      </c>
      <c r="AA186" s="30">
        <v>139.693</v>
      </c>
      <c r="AB186" s="30">
        <v>291.999</v>
      </c>
      <c r="AC186" s="29">
        <v>136.943</v>
      </c>
      <c r="AD186" s="29">
        <v>288.873</v>
      </c>
      <c r="AE186" s="33">
        <v>135.814</v>
      </c>
      <c r="AF186" s="30">
        <v>292.444</v>
      </c>
      <c r="AG186" s="29">
        <v>150.717</v>
      </c>
      <c r="AH186" s="29">
        <v>302.164</v>
      </c>
      <c r="AI186" s="155"/>
      <c r="AJ186" s="155"/>
      <c r="AK186" s="155"/>
      <c r="AL186" s="155"/>
    </row>
  </sheetData>
  <mergeCells count="52">
    <mergeCell ref="Y176:Z176"/>
    <mergeCell ref="AA176:AB176"/>
    <mergeCell ref="M176:N176"/>
    <mergeCell ref="S176:T176"/>
    <mergeCell ref="Q176:R176"/>
    <mergeCell ref="AC176:AD176"/>
    <mergeCell ref="AE176:AF176"/>
    <mergeCell ref="AG176:AH176"/>
    <mergeCell ref="O176:P176"/>
    <mergeCell ref="D90:F90"/>
    <mergeCell ref="G90:I90"/>
    <mergeCell ref="M90:O90"/>
    <mergeCell ref="J90:L90"/>
    <mergeCell ref="J89:O89"/>
    <mergeCell ref="P76:R76"/>
    <mergeCell ref="M76:O76"/>
    <mergeCell ref="J75:O75"/>
    <mergeCell ref="V76:X76"/>
    <mergeCell ref="V75:AA75"/>
    <mergeCell ref="Y76:AA76"/>
    <mergeCell ref="P75:U75"/>
    <mergeCell ref="S76:U76"/>
    <mergeCell ref="G76:I76"/>
    <mergeCell ref="F48:G48"/>
    <mergeCell ref="D48:E48"/>
    <mergeCell ref="F20:G20"/>
    <mergeCell ref="D20:E20"/>
    <mergeCell ref="D65:E65"/>
    <mergeCell ref="F65:G65"/>
    <mergeCell ref="J76:L76"/>
    <mergeCell ref="D76:F76"/>
    <mergeCell ref="D103:I103"/>
    <mergeCell ref="D89:I89"/>
    <mergeCell ref="D104:F104"/>
    <mergeCell ref="G104:I104"/>
    <mergeCell ref="D75:I75"/>
    <mergeCell ref="E124:F124"/>
    <mergeCell ref="C124:D124"/>
    <mergeCell ref="G124:H124"/>
    <mergeCell ref="I124:J124"/>
    <mergeCell ref="C149:D149"/>
    <mergeCell ref="C137:D137"/>
    <mergeCell ref="E137:F137"/>
    <mergeCell ref="C163:D163"/>
    <mergeCell ref="E176:F176"/>
    <mergeCell ref="C176:D176"/>
    <mergeCell ref="I176:J176"/>
    <mergeCell ref="I163:J163"/>
    <mergeCell ref="K176:L176"/>
    <mergeCell ref="G176:H176"/>
    <mergeCell ref="U176:V176"/>
    <mergeCell ref="W176:X176"/>
  </mergeCells>
  <drawing r:id="rId1"/>
</worksheet>
</file>