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<sst xmlns="http://schemas.openxmlformats.org/spreadsheetml/2006/main" count="74" uniqueCount="48">
  <si>
    <t>Company Name</t>
  </si>
  <si>
    <t>Quantity</t>
  </si>
  <si>
    <t>Buying Price</t>
  </si>
  <si>
    <t>Buying Value</t>
  </si>
  <si>
    <t>CMP</t>
  </si>
  <si>
    <t>Market Value</t>
  </si>
  <si>
    <t>Day's Change</t>
  </si>
  <si>
    <t>Gain/Share</t>
  </si>
  <si>
    <t>Total %Gain</t>
  </si>
  <si>
    <t>Industries</t>
  </si>
  <si>
    <t>1Year Trend</t>
  </si>
  <si>
    <t>Days Change</t>
  </si>
  <si>
    <t>INR</t>
  </si>
  <si>
    <t>Classification</t>
  </si>
  <si>
    <t>AARTIIND</t>
  </si>
  <si>
    <t>Chemical</t>
  </si>
  <si>
    <t>Mid Cap</t>
  </si>
  <si>
    <t>ADANIGREEN</t>
  </si>
  <si>
    <t>Adani</t>
  </si>
  <si>
    <t>Large Cap</t>
  </si>
  <si>
    <t>ADANIPORTS</t>
  </si>
  <si>
    <t>DMART</t>
  </si>
  <si>
    <t>Consumer</t>
  </si>
  <si>
    <t>BAJAJFINSV</t>
  </si>
  <si>
    <t xml:space="preserve">Finance </t>
  </si>
  <si>
    <t>HDFCBANK</t>
  </si>
  <si>
    <t>Finance</t>
  </si>
  <si>
    <t>HDFCLIFE</t>
  </si>
  <si>
    <t>Insurance</t>
  </si>
  <si>
    <t>NSE:HAL</t>
  </si>
  <si>
    <t xml:space="preserve">Manufacturing </t>
  </si>
  <si>
    <t>ICICIBANK</t>
  </si>
  <si>
    <t>NAUKRI</t>
  </si>
  <si>
    <t>Tech</t>
  </si>
  <si>
    <t>NSE:INFY</t>
  </si>
  <si>
    <t>JIOFIN</t>
  </si>
  <si>
    <t>LT</t>
  </si>
  <si>
    <t>Construction</t>
  </si>
  <si>
    <t>PAYTM</t>
  </si>
  <si>
    <t>PSUBNKBEES</t>
  </si>
  <si>
    <t>Small Cap</t>
  </si>
  <si>
    <t>RELIANCE</t>
  </si>
  <si>
    <t>TATAMOTORS</t>
  </si>
  <si>
    <t>Vehical</t>
  </si>
  <si>
    <t>TECHM</t>
  </si>
  <si>
    <t>ORCHPHARMA</t>
  </si>
  <si>
    <t>Pharma</t>
  </si>
  <si>
    <t>BOM:505729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</si>
</sst>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  <scheme val="minor"/>
    </font>
    <font>
      <color rgb="FF202124"/>
      <name val="Lexend"/>
    </font>
    <font>
      <color theme="1"/>
      <name val="Arial"/>
      <scheme val="minor"/>
    </font>
    <font>
      <color theme="1"/>
      <name val="Lexend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2" numFmtId="0" xfId="0" applyAlignment="1" applyBorder="1" applyFont="1">
      <alignment vertical="bottom"/>
    </xf>
    <xf borderId="0" fillId="3" fontId="3" numFmtId="0" xfId="0" applyAlignment="1" applyFill="1" applyFont="1">
      <alignment horizontal="center" readingOrder="0"/>
    </xf>
    <xf borderId="1" fillId="4" fontId="4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horizontal="center" vertical="bottom"/>
    </xf>
    <xf borderId="1" fillId="5" fontId="2" numFmtId="2" xfId="0" applyAlignment="1" applyBorder="1" applyFont="1" applyNumberFormat="1">
      <alignment horizontal="center" vertical="bottom"/>
    </xf>
    <xf borderId="1" fillId="6" fontId="2" numFmtId="2" xfId="0" applyAlignment="1" applyBorder="1" applyFill="1" applyFont="1" applyNumberFormat="1">
      <alignment horizontal="center" vertical="bottom"/>
    </xf>
    <xf borderId="1" fillId="7" fontId="2" numFmtId="10" xfId="0" applyAlignment="1" applyBorder="1" applyFill="1" applyFont="1" applyNumberFormat="1">
      <alignment horizontal="center" vertical="bottom"/>
    </xf>
    <xf borderId="1" fillId="8" fontId="2" numFmtId="2" xfId="0" applyAlignment="1" applyBorder="1" applyFill="1" applyFont="1" applyNumberFormat="1">
      <alignment horizontal="center" vertical="bottom"/>
    </xf>
    <xf borderId="1" fillId="8" fontId="2" numFmtId="10" xfId="0" applyAlignment="1" applyBorder="1" applyFont="1" applyNumberFormat="1">
      <alignment horizontal="right" vertical="bottom"/>
    </xf>
    <xf borderId="1" fillId="5" fontId="2" numFmtId="0" xfId="0" applyAlignment="1" applyBorder="1" applyFont="1">
      <alignment vertical="bottom"/>
    </xf>
    <xf borderId="1" fillId="7" fontId="2" numFmtId="0" xfId="0" applyAlignment="1" applyBorder="1" applyFont="1">
      <alignment horizontal="right" vertical="bottom"/>
    </xf>
    <xf borderId="0" fillId="0" fontId="5" numFmtId="0" xfId="0" applyAlignment="1" applyFont="1">
      <alignment readingOrder="0"/>
    </xf>
    <xf borderId="1" fillId="4" fontId="6" numFmtId="0" xfId="0" applyAlignment="1" applyBorder="1" applyFont="1">
      <alignment vertical="bottom"/>
    </xf>
    <xf borderId="1" fillId="8" fontId="2" numFmtId="10" xfId="0" applyAlignment="1" applyBorder="1" applyFont="1" applyNumberFormat="1">
      <alignment horizontal="center" vertical="bottom"/>
    </xf>
    <xf borderId="1" fillId="8" fontId="2" numFmtId="0" xfId="0" applyAlignment="1" applyBorder="1" applyFont="1">
      <alignment horizontal="right" vertical="bottom"/>
    </xf>
    <xf borderId="1" fillId="7" fontId="2" numFmtId="2" xfId="0" applyAlignment="1" applyBorder="1" applyFont="1" applyNumberFormat="1">
      <alignment horizontal="center" vertical="bottom"/>
    </xf>
    <xf borderId="1" fillId="7" fontId="2" numFmtId="10" xfId="0" applyAlignment="1" applyBorder="1" applyFont="1" applyNumberFormat="1">
      <alignment horizontal="right"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 t="s">
        <v>13</v>
      </c>
    </row>
    <row r="2">
      <c r="A2" s="6" t="s">
        <v>14</v>
      </c>
      <c r="B2" s="7">
        <v>10.0</v>
      </c>
      <c r="C2" s="7">
        <v>583.0</v>
      </c>
      <c r="D2" s="8">
        <f t="shared" ref="D2:D21" si="1">B2*C2</f>
        <v>5830</v>
      </c>
      <c r="E2" s="9">
        <f>IFERROR(__xludf.DUMMYFUNCTION("GOOGLEFINANCE(A2)"),620.4)</f>
        <v>620.4</v>
      </c>
      <c r="F2" s="7">
        <f t="shared" ref="F2:F21" si="2">(B2*E2)</f>
        <v>6204</v>
      </c>
      <c r="G2" s="10">
        <f>IFERROR(__xludf.DUMMYFUNCTION("GOOGLEFINANCE(A2,""changepct"")/100"),-0.0077)</f>
        <v>-0.0077</v>
      </c>
      <c r="H2" s="11">
        <f t="shared" ref="H2:H21" si="3">(E2-C2)</f>
        <v>37.4</v>
      </c>
      <c r="I2" s="12">
        <f t="shared" ref="I2:I21" si="4">(E2-C2)/C2</f>
        <v>0.0641509434</v>
      </c>
      <c r="J2" s="13" t="s">
        <v>15</v>
      </c>
      <c r="K2" s="13" t="str">
        <f>IFERROR(__xludf.DUMMYFUNCTION("SPARKLINE(GOOGLEFINANCE(A2,""Price"",today()-364,today()))"),"")</f>
        <v/>
      </c>
      <c r="L2" s="14">
        <f>IFERROR(__xludf.DUMMYFUNCTION("GOOGLEFINANCE(A2,""change"")"),-4.8)</f>
        <v>-4.8</v>
      </c>
      <c r="M2" s="14">
        <f t="shared" ref="M2:M21" si="5">L2</f>
        <v>-4.8</v>
      </c>
      <c r="N2" s="15" t="s">
        <v>16</v>
      </c>
    </row>
    <row r="3">
      <c r="A3" s="16" t="s">
        <v>17</v>
      </c>
      <c r="B3" s="7">
        <v>10.0</v>
      </c>
      <c r="C3" s="7">
        <v>1570.0</v>
      </c>
      <c r="D3" s="8">
        <f t="shared" si="1"/>
        <v>15700</v>
      </c>
      <c r="E3" s="9">
        <f>IFERROR(__xludf.DUMMYFUNCTION("GOOGLEFINANCE(A3)"),1901.0)</f>
        <v>1901</v>
      </c>
      <c r="F3" s="7">
        <f t="shared" si="2"/>
        <v>19010</v>
      </c>
      <c r="G3" s="17">
        <f>IFERROR(__xludf.DUMMYFUNCTION("GOOGLEFINANCE(A3,""changepct"")/100"),0.0078000000000000005)</f>
        <v>0.0078</v>
      </c>
      <c r="H3" s="11">
        <f t="shared" si="3"/>
        <v>331</v>
      </c>
      <c r="I3" s="12">
        <f t="shared" si="4"/>
        <v>0.2108280255</v>
      </c>
      <c r="J3" s="13" t="s">
        <v>18</v>
      </c>
      <c r="K3" s="13" t="str">
        <f>IFERROR(__xludf.DUMMYFUNCTION("SPARKLINE(GOOGLEFINANCE(A3,""Price"",today()-364,today()))"),"")</f>
        <v/>
      </c>
      <c r="L3" s="18">
        <f>IFERROR(__xludf.DUMMYFUNCTION("GOOGLEFINANCE(A3,""change"")"),14.65)</f>
        <v>14.65</v>
      </c>
      <c r="M3" s="18">
        <f t="shared" si="5"/>
        <v>14.65</v>
      </c>
      <c r="N3" s="15" t="s">
        <v>19</v>
      </c>
    </row>
    <row r="4">
      <c r="A4" s="16" t="s">
        <v>20</v>
      </c>
      <c r="B4" s="7">
        <v>25.0</v>
      </c>
      <c r="C4" s="7">
        <v>550.0</v>
      </c>
      <c r="D4" s="8">
        <f t="shared" si="1"/>
        <v>13750</v>
      </c>
      <c r="E4" s="9">
        <f>IFERROR(__xludf.DUMMYFUNCTION("GOOGLEFINANCE(A4)"),1495.0)</f>
        <v>1495</v>
      </c>
      <c r="F4" s="7">
        <f t="shared" si="2"/>
        <v>37375</v>
      </c>
      <c r="G4" s="17">
        <f>IFERROR(__xludf.DUMMYFUNCTION("GOOGLEFINANCE(A4,""changepct"")/100"),0.0018)</f>
        <v>0.0018</v>
      </c>
      <c r="H4" s="11">
        <f t="shared" si="3"/>
        <v>945</v>
      </c>
      <c r="I4" s="12">
        <f t="shared" si="4"/>
        <v>1.718181818</v>
      </c>
      <c r="J4" s="13" t="s">
        <v>18</v>
      </c>
      <c r="K4" s="13" t="str">
        <f>IFERROR(__xludf.DUMMYFUNCTION("SPARKLINE(GOOGLEFINANCE(A4,""Price"",today()-364,today()))"),"")</f>
        <v/>
      </c>
      <c r="L4" s="18">
        <f>IFERROR(__xludf.DUMMYFUNCTION("GOOGLEFINANCE(A4,""change"")"),2.7)</f>
        <v>2.7</v>
      </c>
      <c r="M4" s="18">
        <f t="shared" si="5"/>
        <v>2.7</v>
      </c>
      <c r="N4" s="15" t="s">
        <v>19</v>
      </c>
    </row>
    <row r="5">
      <c r="A5" s="16" t="s">
        <v>21</v>
      </c>
      <c r="B5" s="7">
        <v>4.0</v>
      </c>
      <c r="C5" s="7">
        <v>3436.0</v>
      </c>
      <c r="D5" s="8">
        <f t="shared" si="1"/>
        <v>13744</v>
      </c>
      <c r="E5" s="9">
        <f>IFERROR(__xludf.DUMMYFUNCTION("GOOGLEFINANCE(A5)"),4926.95)</f>
        <v>4926.95</v>
      </c>
      <c r="F5" s="7">
        <f t="shared" si="2"/>
        <v>19707.8</v>
      </c>
      <c r="G5" s="10">
        <f>IFERROR(__xludf.DUMMYFUNCTION("GOOGLEFINANCE(A5,""changepct"")/100"),-0.0259)</f>
        <v>-0.0259</v>
      </c>
      <c r="H5" s="11">
        <f t="shared" si="3"/>
        <v>1490.95</v>
      </c>
      <c r="I5" s="12">
        <f t="shared" si="4"/>
        <v>0.4339202561</v>
      </c>
      <c r="J5" s="13" t="s">
        <v>22</v>
      </c>
      <c r="K5" s="13" t="str">
        <f>IFERROR(__xludf.DUMMYFUNCTION("SPARKLINE(GOOGLEFINANCE(A5,""Price"",today()-364,today()))"),"")</f>
        <v/>
      </c>
      <c r="L5" s="14">
        <f>IFERROR(__xludf.DUMMYFUNCTION("GOOGLEFINANCE(A5,""change"")"),-130.9)</f>
        <v>-130.9</v>
      </c>
      <c r="M5" s="14">
        <f t="shared" si="5"/>
        <v>-130.9</v>
      </c>
      <c r="N5" s="15" t="s">
        <v>19</v>
      </c>
    </row>
    <row r="6">
      <c r="A6" s="16" t="s">
        <v>23</v>
      </c>
      <c r="B6" s="7">
        <v>30.0</v>
      </c>
      <c r="C6" s="7">
        <v>1470.0</v>
      </c>
      <c r="D6" s="8">
        <f t="shared" si="1"/>
        <v>44100</v>
      </c>
      <c r="E6" s="9">
        <f>IFERROR(__xludf.DUMMYFUNCTION("GOOGLEFINANCE(A6)"),1643.9)</f>
        <v>1643.9</v>
      </c>
      <c r="F6" s="7">
        <f t="shared" si="2"/>
        <v>49317</v>
      </c>
      <c r="G6" s="17">
        <f>IFERROR(__xludf.DUMMYFUNCTION("GOOGLEFINANCE(A6,""changepct"")/100"),0.011200000000000002)</f>
        <v>0.0112</v>
      </c>
      <c r="H6" s="11">
        <f t="shared" si="3"/>
        <v>173.9</v>
      </c>
      <c r="I6" s="12">
        <f t="shared" si="4"/>
        <v>0.1182993197</v>
      </c>
      <c r="J6" s="13" t="s">
        <v>24</v>
      </c>
      <c r="K6" s="13" t="str">
        <f>IFERROR(__xludf.DUMMYFUNCTION("SPARKLINE(GOOGLEFINANCE(A6,""Price"",today()-364,today()))"),"")</f>
        <v/>
      </c>
      <c r="L6" s="18">
        <f>IFERROR(__xludf.DUMMYFUNCTION("GOOGLEFINANCE(A6,""change"")"),18.2)</f>
        <v>18.2</v>
      </c>
      <c r="M6" s="18">
        <f t="shared" si="5"/>
        <v>18.2</v>
      </c>
      <c r="N6" s="15" t="s">
        <v>16</v>
      </c>
    </row>
    <row r="7">
      <c r="A7" s="16" t="s">
        <v>25</v>
      </c>
      <c r="B7" s="7">
        <v>10.0</v>
      </c>
      <c r="C7" s="7">
        <v>1355.0</v>
      </c>
      <c r="D7" s="8">
        <f t="shared" si="1"/>
        <v>13550</v>
      </c>
      <c r="E7" s="9">
        <f>IFERROR(__xludf.DUMMYFUNCTION("GOOGLEFINANCE(A7)"),1625.2)</f>
        <v>1625.2</v>
      </c>
      <c r="F7" s="7">
        <f t="shared" si="2"/>
        <v>16252</v>
      </c>
      <c r="G7" s="10">
        <f>IFERROR(__xludf.DUMMYFUNCTION("GOOGLEFINANCE(A7,""changepct"")/100"),-0.0037)</f>
        <v>-0.0037</v>
      </c>
      <c r="H7" s="11">
        <f t="shared" si="3"/>
        <v>270.2</v>
      </c>
      <c r="I7" s="12">
        <f t="shared" si="4"/>
        <v>0.1994095941</v>
      </c>
      <c r="J7" s="13" t="s">
        <v>26</v>
      </c>
      <c r="K7" s="13" t="str">
        <f>IFERROR(__xludf.DUMMYFUNCTION("SPARKLINE(GOOGLEFINANCE(A7,""Price"",today()-364,today()))"),"")</f>
        <v/>
      </c>
      <c r="L7" s="14">
        <f>IFERROR(__xludf.DUMMYFUNCTION("GOOGLEFINANCE(A7,""change"")"),-6.1)</f>
        <v>-6.1</v>
      </c>
      <c r="M7" s="14">
        <f t="shared" si="5"/>
        <v>-6.1</v>
      </c>
      <c r="N7" s="15" t="s">
        <v>19</v>
      </c>
    </row>
    <row r="8">
      <c r="A8" s="16" t="s">
        <v>27</v>
      </c>
      <c r="B8" s="7">
        <v>15.0</v>
      </c>
      <c r="C8" s="7">
        <v>512.0</v>
      </c>
      <c r="D8" s="8">
        <f t="shared" si="1"/>
        <v>7680</v>
      </c>
      <c r="E8" s="9">
        <f>IFERROR(__xludf.DUMMYFUNCTION("GOOGLEFINANCE(A8)"),726.95)</f>
        <v>726.95</v>
      </c>
      <c r="F8" s="7">
        <f t="shared" si="2"/>
        <v>10904.25</v>
      </c>
      <c r="G8" s="17">
        <f>IFERROR(__xludf.DUMMYFUNCTION("GOOGLEFINANCE(A8,""changepct"")/100"),0.0013)</f>
        <v>0.0013</v>
      </c>
      <c r="H8" s="11">
        <f t="shared" si="3"/>
        <v>214.95</v>
      </c>
      <c r="I8" s="12">
        <f t="shared" si="4"/>
        <v>0.4198242188</v>
      </c>
      <c r="J8" s="13" t="s">
        <v>28</v>
      </c>
      <c r="K8" s="13" t="str">
        <f>IFERROR(__xludf.DUMMYFUNCTION("SPARKLINE(GOOGLEFINANCE(A8,""Price"",today()-364,today()))"),"")</f>
        <v/>
      </c>
      <c r="L8" s="18">
        <f>IFERROR(__xludf.DUMMYFUNCTION("GOOGLEFINANCE(A8,""change"")"),0.95)</f>
        <v>0.95</v>
      </c>
      <c r="M8" s="18">
        <f t="shared" si="5"/>
        <v>0.95</v>
      </c>
      <c r="N8" s="15" t="s">
        <v>19</v>
      </c>
    </row>
    <row r="9">
      <c r="A9" s="16" t="s">
        <v>29</v>
      </c>
      <c r="B9" s="7">
        <v>6.0</v>
      </c>
      <c r="C9" s="7">
        <v>1953.0</v>
      </c>
      <c r="D9" s="8">
        <f t="shared" si="1"/>
        <v>11718</v>
      </c>
      <c r="E9" s="9">
        <f>IFERROR(__xludf.DUMMYFUNCTION("GOOGLEFINANCE(A9)"),4825.0)</f>
        <v>4825</v>
      </c>
      <c r="F9" s="7">
        <f t="shared" si="2"/>
        <v>28950</v>
      </c>
      <c r="G9" s="17">
        <f>IFERROR(__xludf.DUMMYFUNCTION("GOOGLEFINANCE(A9,""changepct"")/100"),0.011899999999999999)</f>
        <v>0.0119</v>
      </c>
      <c r="H9" s="11">
        <f t="shared" si="3"/>
        <v>2872</v>
      </c>
      <c r="I9" s="12">
        <f t="shared" si="4"/>
        <v>1.470558116</v>
      </c>
      <c r="J9" s="13" t="s">
        <v>30</v>
      </c>
      <c r="K9" s="13" t="str">
        <f>IFERROR(__xludf.DUMMYFUNCTION("SPARKLINE(GOOGLEFINANCE(A9,""Price"",today()-364,today()))"),"")</f>
        <v/>
      </c>
      <c r="L9" s="18">
        <f>IFERROR(__xludf.DUMMYFUNCTION("GOOGLEFINANCE(A9,""change"")"),56.9)</f>
        <v>56.9</v>
      </c>
      <c r="M9" s="18">
        <f t="shared" si="5"/>
        <v>56.9</v>
      </c>
      <c r="N9" s="15" t="s">
        <v>16</v>
      </c>
    </row>
    <row r="10">
      <c r="A10" s="16" t="s">
        <v>31</v>
      </c>
      <c r="B10" s="7">
        <v>10.0</v>
      </c>
      <c r="C10" s="7">
        <v>815.0</v>
      </c>
      <c r="D10" s="8">
        <f t="shared" si="1"/>
        <v>8150</v>
      </c>
      <c r="E10" s="9">
        <f>IFERROR(__xludf.DUMMYFUNCTION("GOOGLEFINANCE(A10)"),1204.6)</f>
        <v>1204.6</v>
      </c>
      <c r="F10" s="7">
        <f t="shared" si="2"/>
        <v>12046</v>
      </c>
      <c r="G10" s="17">
        <f>IFERROR(__xludf.DUMMYFUNCTION("GOOGLEFINANCE(A10,""changepct"")/100"),0.0113)</f>
        <v>0.0113</v>
      </c>
      <c r="H10" s="11">
        <f t="shared" si="3"/>
        <v>389.6</v>
      </c>
      <c r="I10" s="12">
        <f t="shared" si="4"/>
        <v>0.4780368098</v>
      </c>
      <c r="J10" s="13" t="s">
        <v>26</v>
      </c>
      <c r="K10" s="13" t="str">
        <f>IFERROR(__xludf.DUMMYFUNCTION("SPARKLINE(GOOGLEFINANCE(A10,""Price"",today()-364,today()))"),"")</f>
        <v/>
      </c>
      <c r="L10" s="18">
        <f>IFERROR(__xludf.DUMMYFUNCTION("GOOGLEFINANCE(A10,""change"")"),13.5)</f>
        <v>13.5</v>
      </c>
      <c r="M10" s="18">
        <f t="shared" si="5"/>
        <v>13.5</v>
      </c>
      <c r="N10" s="15" t="s">
        <v>19</v>
      </c>
    </row>
    <row r="11">
      <c r="A11" s="16" t="s">
        <v>32</v>
      </c>
      <c r="B11" s="7">
        <v>3.0</v>
      </c>
      <c r="C11" s="7">
        <v>3447.0</v>
      </c>
      <c r="D11" s="8">
        <f t="shared" si="1"/>
        <v>10341</v>
      </c>
      <c r="E11" s="9">
        <f>IFERROR(__xludf.DUMMYFUNCTION("GOOGLEFINANCE(A11)"),7390.05)</f>
        <v>7390.05</v>
      </c>
      <c r="F11" s="7">
        <f t="shared" si="2"/>
        <v>22170.15</v>
      </c>
      <c r="G11" s="10">
        <f>IFERROR(__xludf.DUMMYFUNCTION("GOOGLEFINANCE(A11,""changepct"")/100"),-0.0073)</f>
        <v>-0.0073</v>
      </c>
      <c r="H11" s="11">
        <f t="shared" si="3"/>
        <v>3943.05</v>
      </c>
      <c r="I11" s="12">
        <f t="shared" si="4"/>
        <v>1.143907746</v>
      </c>
      <c r="J11" s="13" t="s">
        <v>33</v>
      </c>
      <c r="K11" s="13" t="str">
        <f>IFERROR(__xludf.DUMMYFUNCTION("SPARKLINE(GOOGLEFINANCE(A11,""Price"",today()-364,today()))"),"")</f>
        <v/>
      </c>
      <c r="L11" s="14">
        <f>IFERROR(__xludf.DUMMYFUNCTION("GOOGLEFINANCE(A11,""change"")"),-54.4)</f>
        <v>-54.4</v>
      </c>
      <c r="M11" s="14">
        <f t="shared" si="5"/>
        <v>-54.4</v>
      </c>
      <c r="N11" s="15" t="s">
        <v>16</v>
      </c>
    </row>
    <row r="12">
      <c r="A12" s="16" t="s">
        <v>34</v>
      </c>
      <c r="B12" s="7">
        <v>8.0</v>
      </c>
      <c r="C12" s="7">
        <v>1475.0</v>
      </c>
      <c r="D12" s="8">
        <f t="shared" si="1"/>
        <v>11800</v>
      </c>
      <c r="E12" s="9">
        <f>IFERROR(__xludf.DUMMYFUNCTION("GOOGLEFINANCE(A12)"),1865.95)</f>
        <v>1865.95</v>
      </c>
      <c r="F12" s="7">
        <f t="shared" si="2"/>
        <v>14927.6</v>
      </c>
      <c r="G12" s="10">
        <f>IFERROR(__xludf.DUMMYFUNCTION("GOOGLEFINANCE(A12,""changepct"")/100"),-0.0076)</f>
        <v>-0.0076</v>
      </c>
      <c r="H12" s="11">
        <f t="shared" si="3"/>
        <v>390.95</v>
      </c>
      <c r="I12" s="12">
        <f t="shared" si="4"/>
        <v>0.2650508475</v>
      </c>
      <c r="J12" s="13" t="s">
        <v>33</v>
      </c>
      <c r="K12" s="13" t="str">
        <f>IFERROR(__xludf.DUMMYFUNCTION("SPARKLINE(GOOGLEFINANCE(A12,""Price"",today()-364,today()))"),"")</f>
        <v/>
      </c>
      <c r="L12" s="14">
        <f>IFERROR(__xludf.DUMMYFUNCTION("GOOGLEFINANCE(A12,""change"")"),-14.3)</f>
        <v>-14.3</v>
      </c>
      <c r="M12" s="14">
        <f t="shared" si="5"/>
        <v>-14.3</v>
      </c>
      <c r="N12" s="15" t="s">
        <v>19</v>
      </c>
    </row>
    <row r="13">
      <c r="A13" s="16" t="s">
        <v>35</v>
      </c>
      <c r="B13" s="7">
        <v>20.0</v>
      </c>
      <c r="C13" s="7">
        <v>113.0</v>
      </c>
      <c r="D13" s="8">
        <f t="shared" si="1"/>
        <v>2260</v>
      </c>
      <c r="E13" s="9">
        <f>IFERROR(__xludf.DUMMYFUNCTION("GOOGLEFINANCE(A13)"),327.05)</f>
        <v>327.05</v>
      </c>
      <c r="F13" s="7">
        <f t="shared" si="2"/>
        <v>6541</v>
      </c>
      <c r="G13" s="10">
        <f>IFERROR(__xludf.DUMMYFUNCTION("GOOGLEFINANCE(A13,""changepct"")/100"),-0.0077)</f>
        <v>-0.0077</v>
      </c>
      <c r="H13" s="11">
        <f t="shared" si="3"/>
        <v>214.05</v>
      </c>
      <c r="I13" s="12">
        <f t="shared" si="4"/>
        <v>1.894247788</v>
      </c>
      <c r="J13" s="13" t="s">
        <v>26</v>
      </c>
      <c r="K13" s="13" t="str">
        <f>IFERROR(__xludf.DUMMYFUNCTION("SPARKLINE(GOOGLEFINANCE(A13,""Price"",today()-364,today()))"),"")</f>
        <v/>
      </c>
      <c r="L13" s="14">
        <f>IFERROR(__xludf.DUMMYFUNCTION("GOOGLEFINANCE(A13,""change"")"),-2.55)</f>
        <v>-2.55</v>
      </c>
      <c r="M13" s="14">
        <f t="shared" si="5"/>
        <v>-2.55</v>
      </c>
      <c r="N13" s="15" t="s">
        <v>16</v>
      </c>
    </row>
    <row r="14">
      <c r="A14" s="16" t="s">
        <v>36</v>
      </c>
      <c r="B14" s="7">
        <v>10.0</v>
      </c>
      <c r="C14" s="7">
        <v>2103.0</v>
      </c>
      <c r="D14" s="8">
        <f t="shared" si="1"/>
        <v>21030</v>
      </c>
      <c r="E14" s="9">
        <f>IFERROR(__xludf.DUMMYFUNCTION("GOOGLEFINANCE(A14)"),3598.25)</f>
        <v>3598.25</v>
      </c>
      <c r="F14" s="7">
        <f t="shared" si="2"/>
        <v>35982.5</v>
      </c>
      <c r="G14" s="10">
        <f>IFERROR(__xludf.DUMMYFUNCTION("GOOGLEFINANCE(A14,""changepct"")/100"),-0.0023)</f>
        <v>-0.0023</v>
      </c>
      <c r="H14" s="11">
        <f t="shared" si="3"/>
        <v>1495.25</v>
      </c>
      <c r="I14" s="12">
        <f t="shared" si="4"/>
        <v>0.7110080837</v>
      </c>
      <c r="J14" s="13" t="s">
        <v>37</v>
      </c>
      <c r="K14" s="13" t="str">
        <f>IFERROR(__xludf.DUMMYFUNCTION("SPARKLINE(GOOGLEFINANCE(A14,""Price"",today()-364,today()))"),"")</f>
        <v/>
      </c>
      <c r="L14" s="14">
        <f>IFERROR(__xludf.DUMMYFUNCTION("GOOGLEFINANCE(A14,""change"")"),-8.25)</f>
        <v>-8.25</v>
      </c>
      <c r="M14" s="14">
        <f t="shared" si="5"/>
        <v>-8.25</v>
      </c>
      <c r="N14" s="15" t="s">
        <v>19</v>
      </c>
    </row>
    <row r="15">
      <c r="A15" s="16" t="s">
        <v>38</v>
      </c>
      <c r="B15" s="7">
        <v>20.0</v>
      </c>
      <c r="C15" s="7">
        <v>664.0</v>
      </c>
      <c r="D15" s="8">
        <f t="shared" si="1"/>
        <v>13280</v>
      </c>
      <c r="E15" s="9">
        <f>IFERROR(__xludf.DUMMYFUNCTION("GOOGLEFINANCE(A15)"),555.15)</f>
        <v>555.15</v>
      </c>
      <c r="F15" s="7">
        <f t="shared" si="2"/>
        <v>11103</v>
      </c>
      <c r="G15" s="17">
        <f>IFERROR(__xludf.DUMMYFUNCTION("GOOGLEFINANCE(A15,""changepct"")/100"),0.0026)</f>
        <v>0.0026</v>
      </c>
      <c r="H15" s="19">
        <f t="shared" si="3"/>
        <v>-108.85</v>
      </c>
      <c r="I15" s="20">
        <f t="shared" si="4"/>
        <v>-0.1639307229</v>
      </c>
      <c r="J15" s="13" t="s">
        <v>26</v>
      </c>
      <c r="K15" s="13" t="str">
        <f>IFERROR(__xludf.DUMMYFUNCTION("SPARKLINE(GOOGLEFINANCE(A15,""Price"",today()-364,today()))"),"")</f>
        <v/>
      </c>
      <c r="L15" s="18">
        <f>IFERROR(__xludf.DUMMYFUNCTION("GOOGLEFINANCE(A15,""change"")"),1.45)</f>
        <v>1.45</v>
      </c>
      <c r="M15" s="18">
        <f t="shared" si="5"/>
        <v>1.45</v>
      </c>
      <c r="N15" s="15" t="s">
        <v>16</v>
      </c>
    </row>
    <row r="16">
      <c r="A16" s="16" t="s">
        <v>39</v>
      </c>
      <c r="B16" s="7">
        <v>200.0</v>
      </c>
      <c r="C16" s="7">
        <v>46.0</v>
      </c>
      <c r="D16" s="8">
        <f t="shared" si="1"/>
        <v>9200</v>
      </c>
      <c r="E16" s="9">
        <f>IFERROR(__xludf.DUMMYFUNCTION("GOOGLEFINANCE(A16)"),78.26)</f>
        <v>78.26</v>
      </c>
      <c r="F16" s="7">
        <f t="shared" si="2"/>
        <v>15652</v>
      </c>
      <c r="G16" s="10">
        <f>IFERROR(__xludf.DUMMYFUNCTION("GOOGLEFINANCE(A16,""changepct"")/100"),-0.0039000000000000003)</f>
        <v>-0.0039</v>
      </c>
      <c r="H16" s="11">
        <f t="shared" si="3"/>
        <v>32.26</v>
      </c>
      <c r="I16" s="12">
        <f t="shared" si="4"/>
        <v>0.7013043478</v>
      </c>
      <c r="J16" s="13" t="s">
        <v>26</v>
      </c>
      <c r="K16" s="13" t="str">
        <f>IFERROR(__xludf.DUMMYFUNCTION("SPARKLINE(GOOGLEFINANCE(A16,""Price"",today()-364,today()))"),"")</f>
        <v/>
      </c>
      <c r="L16" s="14">
        <f>IFERROR(__xludf.DUMMYFUNCTION("GOOGLEFINANCE(A16,""change"")"),-0.31)</f>
        <v>-0.31</v>
      </c>
      <c r="M16" s="14">
        <f t="shared" si="5"/>
        <v>-0.31</v>
      </c>
      <c r="N16" s="15" t="s">
        <v>40</v>
      </c>
    </row>
    <row r="17">
      <c r="A17" s="16" t="s">
        <v>41</v>
      </c>
      <c r="B17" s="7">
        <v>20.0</v>
      </c>
      <c r="C17" s="7">
        <v>2300.0</v>
      </c>
      <c r="D17" s="8">
        <f t="shared" si="1"/>
        <v>46000</v>
      </c>
      <c r="E17" s="9">
        <f>IFERROR(__xludf.DUMMYFUNCTION("GOOGLEFINANCE(A17)"),2996.85)</f>
        <v>2996.85</v>
      </c>
      <c r="F17" s="7">
        <f t="shared" si="2"/>
        <v>59937</v>
      </c>
      <c r="G17" s="17">
        <f>IFERROR(__xludf.DUMMYFUNCTION("GOOGLEFINANCE(A17,""changepct"")/100"),2.0E-4)</f>
        <v>0.0002</v>
      </c>
      <c r="H17" s="11">
        <f t="shared" si="3"/>
        <v>696.85</v>
      </c>
      <c r="I17" s="12">
        <f t="shared" si="4"/>
        <v>0.3029782609</v>
      </c>
      <c r="J17" s="13" t="s">
        <v>22</v>
      </c>
      <c r="K17" s="13" t="str">
        <f>IFERROR(__xludf.DUMMYFUNCTION("SPARKLINE(GOOGLEFINANCE(A17,""Price"",today()-364,today()))"),"")</f>
        <v/>
      </c>
      <c r="L17" s="18">
        <f>IFERROR(__xludf.DUMMYFUNCTION("GOOGLEFINANCE(A17,""change"")"),0.6)</f>
        <v>0.6</v>
      </c>
      <c r="M17" s="18">
        <f t="shared" si="5"/>
        <v>0.6</v>
      </c>
      <c r="N17" s="15" t="s">
        <v>19</v>
      </c>
    </row>
    <row r="18">
      <c r="A18" s="16" t="s">
        <v>42</v>
      </c>
      <c r="B18" s="7">
        <v>3.0</v>
      </c>
      <c r="C18" s="7">
        <v>620.0</v>
      </c>
      <c r="D18" s="8">
        <f t="shared" si="1"/>
        <v>1860</v>
      </c>
      <c r="E18" s="9">
        <f>IFERROR(__xludf.DUMMYFUNCTION("GOOGLEFINANCE(A18)"),1085.35)</f>
        <v>1085.35</v>
      </c>
      <c r="F18" s="7">
        <f t="shared" si="2"/>
        <v>3256.05</v>
      </c>
      <c r="G18" s="17">
        <f>IFERROR(__xludf.DUMMYFUNCTION("GOOGLEFINANCE(A18,""changepct"")/100"),0.0158)</f>
        <v>0.0158</v>
      </c>
      <c r="H18" s="11">
        <f t="shared" si="3"/>
        <v>465.35</v>
      </c>
      <c r="I18" s="12">
        <f t="shared" si="4"/>
        <v>0.7505645161</v>
      </c>
      <c r="J18" s="13" t="s">
        <v>43</v>
      </c>
      <c r="K18" s="13" t="str">
        <f>IFERROR(__xludf.DUMMYFUNCTION("SPARKLINE(GOOGLEFINANCE(A18,""Price"",today()-364,today()))"),"")</f>
        <v/>
      </c>
      <c r="L18" s="18">
        <f>IFERROR(__xludf.DUMMYFUNCTION("GOOGLEFINANCE(A18,""change"")"),16.9)</f>
        <v>16.9</v>
      </c>
      <c r="M18" s="18">
        <f t="shared" si="5"/>
        <v>16.9</v>
      </c>
      <c r="N18" s="15" t="s">
        <v>19</v>
      </c>
    </row>
    <row r="19">
      <c r="A19" s="16" t="s">
        <v>44</v>
      </c>
      <c r="B19" s="7">
        <v>10.0</v>
      </c>
      <c r="C19" s="7">
        <v>1030.0</v>
      </c>
      <c r="D19" s="8">
        <f t="shared" si="1"/>
        <v>10300</v>
      </c>
      <c r="E19" s="9">
        <f>IFERROR(__xludf.DUMMYFUNCTION("GOOGLEFINANCE(A19)"),1607.8)</f>
        <v>1607.8</v>
      </c>
      <c r="F19" s="7">
        <f t="shared" si="2"/>
        <v>16078</v>
      </c>
      <c r="G19" s="10">
        <f>IFERROR(__xludf.DUMMYFUNCTION("GOOGLEFINANCE(A19,""changepct"")/100"),-0.0021)</f>
        <v>-0.0021</v>
      </c>
      <c r="H19" s="11">
        <f t="shared" si="3"/>
        <v>577.8</v>
      </c>
      <c r="I19" s="12">
        <f t="shared" si="4"/>
        <v>0.5609708738</v>
      </c>
      <c r="J19" s="13" t="s">
        <v>33</v>
      </c>
      <c r="K19" s="13" t="str">
        <f>IFERROR(__xludf.DUMMYFUNCTION("SPARKLINE(GOOGLEFINANCE(A19,""Price"",today()-364,today()))"),"")</f>
        <v/>
      </c>
      <c r="L19" s="14">
        <f>IFERROR(__xludf.DUMMYFUNCTION("GOOGLEFINANCE(A19,""change"")"),-3.45)</f>
        <v>-3.45</v>
      </c>
      <c r="M19" s="14">
        <f t="shared" si="5"/>
        <v>-3.45</v>
      </c>
      <c r="N19" s="15" t="s">
        <v>19</v>
      </c>
    </row>
    <row r="20">
      <c r="A20" s="16" t="s">
        <v>45</v>
      </c>
      <c r="B20" s="7">
        <v>5.0</v>
      </c>
      <c r="C20" s="7">
        <v>651.0</v>
      </c>
      <c r="D20" s="8">
        <f t="shared" si="1"/>
        <v>3255</v>
      </c>
      <c r="E20" s="9">
        <f>IFERROR(__xludf.DUMMYFUNCTION("GOOGLEFINANCE(A20)"),1383.7)</f>
        <v>1383.7</v>
      </c>
      <c r="F20" s="7">
        <f t="shared" si="2"/>
        <v>6918.5</v>
      </c>
      <c r="G20" s="17">
        <f>IFERROR(__xludf.DUMMYFUNCTION("GOOGLEFINANCE(A20,""changepct"")/100"),0.0034000000000000002)</f>
        <v>0.0034</v>
      </c>
      <c r="H20" s="11">
        <f t="shared" si="3"/>
        <v>732.7</v>
      </c>
      <c r="I20" s="12">
        <f t="shared" si="4"/>
        <v>1.125499232</v>
      </c>
      <c r="J20" s="13" t="s">
        <v>46</v>
      </c>
      <c r="K20" s="13" t="str">
        <f>IFERROR(__xludf.DUMMYFUNCTION("SPARKLINE(GOOGLEFINANCE(A20,""Price"",today()-364,today()))"),"")</f>
        <v/>
      </c>
      <c r="L20" s="18">
        <f>IFERROR(__xludf.DUMMYFUNCTION("GOOGLEFINANCE(A20,""change"")"),4.7)</f>
        <v>4.7</v>
      </c>
      <c r="M20" s="18">
        <f t="shared" si="5"/>
        <v>4.7</v>
      </c>
      <c r="N20" s="15" t="s">
        <v>16</v>
      </c>
    </row>
    <row r="21">
      <c r="A21" s="16" t="s">
        <v>47</v>
      </c>
      <c r="B21" s="7">
        <v>100.0</v>
      </c>
      <c r="C21" s="7">
        <v>77.0</v>
      </c>
      <c r="D21" s="8">
        <f t="shared" si="1"/>
        <v>7700</v>
      </c>
      <c r="E21" s="9">
        <f>IFERROR(__xludf.DUMMYFUNCTION("GOOGLEFINANCE(A21)"),105.61)</f>
        <v>105.61</v>
      </c>
      <c r="F21" s="7">
        <f t="shared" si="2"/>
        <v>10561</v>
      </c>
      <c r="G21" s="17">
        <f>IFERROR(__xludf.DUMMYFUNCTION("GOOGLEFINANCE(A21,""changepct"")/100"),0.0023)</f>
        <v>0.0023</v>
      </c>
      <c r="H21" s="11">
        <f t="shared" si="3"/>
        <v>28.61</v>
      </c>
      <c r="I21" s="12">
        <f t="shared" si="4"/>
        <v>0.3715584416</v>
      </c>
      <c r="J21" s="13" t="s">
        <v>22</v>
      </c>
      <c r="K21" s="13" t="str">
        <f>IFERROR(__xludf.DUMMYFUNCTION("SPARKLINE(GOOGLEFINANCE(A21,""Price"",today()-364,today()))"),"")</f>
        <v/>
      </c>
      <c r="L21" s="18">
        <f>IFERROR(__xludf.DUMMYFUNCTION("GOOGLEFINANCE(A21,""change"")"),0.24)</f>
        <v>0.24</v>
      </c>
      <c r="M21" s="18">
        <f t="shared" si="5"/>
        <v>0.24</v>
      </c>
      <c r="N21" s="15" t="s">
        <v>40</v>
      </c>
    </row>
  </sheetData>
  <conditionalFormatting sqref="N1:N21">
    <cfRule type="cellIs" dxfId="0" priority="1" operator="equal">
      <formula>"Large Cap"</formula>
    </cfRule>
  </conditionalFormatting>
  <conditionalFormatting sqref="N1:N22">
    <cfRule type="cellIs" dxfId="1" priority="2" operator="equal">
      <formula>"Mid Cap"</formula>
    </cfRule>
  </conditionalFormatting>
  <conditionalFormatting sqref="N22">
    <cfRule type="cellIs" dxfId="2" priority="3" operator="equal">
      <formula>"Small Cap"</formula>
    </cfRule>
  </conditionalFormatting>
  <conditionalFormatting sqref="N1:N23">
    <cfRule type="cellIs" dxfId="2" priority="4" operator="equal">
      <formula>"Small Cap"</formula>
    </cfRule>
  </conditionalFormatting>
  <drawing r:id="rId1"/>
</worksheet>
</file>