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ate1904="1"/>
  <mc:AlternateContent xmlns:mc="http://schemas.openxmlformats.org/markup-compatibility/2006">
    <mc:Choice Requires="x15">
      <x15ac:absPath xmlns:x15ac="http://schemas.microsoft.com/office/spreadsheetml/2010/11/ac" url="C:\Users\Vihaan Akshaay\Desktop\"/>
    </mc:Choice>
  </mc:AlternateContent>
  <xr:revisionPtr revIDLastSave="0" documentId="13_ncr:1_{516014C1-8DC4-4A7B-BA84-C643CE508E7C}" xr6:coauthVersionLast="43" xr6:coauthVersionMax="43" xr10:uidLastSave="{00000000-0000-0000-0000-000000000000}"/>
  <bookViews>
    <workbookView xWindow="-108" yWindow="-108" windowWidth="23256" windowHeight="12576" activeTab="1" xr2:uid="{00000000-000D-0000-FFFF-FFFF00000000}"/>
  </bookViews>
  <sheets>
    <sheet name="Sheet 1" sheetId="1" r:id="rId1"/>
    <sheet name="Sheet4" sheetId="5" r:id="rId2"/>
  </sheets>
  <calcPr calcId="181029"/>
</workbook>
</file>

<file path=xl/calcChain.xml><?xml version="1.0" encoding="utf-8"?>
<calcChain xmlns="http://schemas.openxmlformats.org/spreadsheetml/2006/main">
  <c r="I145" i="5" l="1"/>
  <c r="I125" i="5"/>
  <c r="I126" i="5"/>
  <c r="I128" i="5"/>
  <c r="I129" i="5"/>
  <c r="I130" i="5"/>
  <c r="I131" i="5"/>
  <c r="I132" i="5"/>
  <c r="I133" i="5"/>
  <c r="I134" i="5"/>
  <c r="I135" i="5"/>
  <c r="I136" i="5"/>
  <c r="I137" i="5"/>
  <c r="I138" i="5"/>
  <c r="I139" i="5"/>
  <c r="I140" i="5"/>
  <c r="I141" i="5"/>
  <c r="I142" i="5"/>
  <c r="I143" i="5"/>
  <c r="I144" i="5"/>
  <c r="I146" i="5"/>
  <c r="I147" i="5"/>
  <c r="I148" i="5"/>
  <c r="I149" i="5"/>
  <c r="I152" i="5"/>
  <c r="I154" i="5"/>
  <c r="I155" i="5"/>
  <c r="I157" i="5"/>
  <c r="I158" i="5"/>
  <c r="I159" i="5"/>
  <c r="I160" i="5"/>
  <c r="I161" i="5"/>
  <c r="I162" i="5"/>
  <c r="I163" i="5"/>
  <c r="I164" i="5"/>
  <c r="I165" i="5"/>
  <c r="I166" i="5"/>
  <c r="I167" i="5"/>
  <c r="I168" i="5"/>
  <c r="I169" i="5"/>
  <c r="I170" i="5"/>
  <c r="I171" i="5"/>
  <c r="I172" i="5"/>
  <c r="I173" i="5"/>
  <c r="I174" i="5"/>
  <c r="I175" i="5"/>
  <c r="I176" i="5"/>
  <c r="I177" i="5"/>
  <c r="I178" i="5"/>
  <c r="I179" i="5"/>
  <c r="I181" i="5"/>
  <c r="I183" i="5"/>
  <c r="I185" i="5"/>
  <c r="I187" i="5"/>
  <c r="I188" i="5"/>
  <c r="I189" i="5"/>
  <c r="I190" i="5"/>
  <c r="I191" i="5"/>
  <c r="I192" i="5"/>
  <c r="I193" i="5"/>
  <c r="I194" i="5"/>
  <c r="I195" i="5"/>
  <c r="I196" i="5"/>
  <c r="I197" i="5"/>
  <c r="I198" i="5"/>
  <c r="I199" i="5"/>
  <c r="I200" i="5"/>
  <c r="I201" i="5"/>
  <c r="I202" i="5"/>
  <c r="I203" i="5"/>
  <c r="I204" i="5"/>
  <c r="I205" i="5"/>
  <c r="I208" i="5"/>
  <c r="I209" i="5"/>
  <c r="I210" i="5"/>
  <c r="I211" i="5"/>
  <c r="I212" i="5"/>
  <c r="I213" i="5"/>
  <c r="I214" i="5"/>
  <c r="I215" i="5"/>
  <c r="I216" i="5"/>
  <c r="I217" i="5"/>
  <c r="I218" i="5"/>
  <c r="I219" i="5"/>
  <c r="I220" i="5"/>
  <c r="I221" i="5"/>
  <c r="I222" i="5"/>
  <c r="I223" i="5"/>
  <c r="I224" i="5"/>
  <c r="I225" i="5"/>
  <c r="I226" i="5"/>
  <c r="I124" i="5"/>
  <c r="K188" i="5"/>
  <c r="K189" i="5"/>
  <c r="K190" i="5"/>
  <c r="K191" i="5"/>
  <c r="K192" i="5"/>
  <c r="K193" i="5"/>
  <c r="K194" i="5"/>
  <c r="K195" i="5"/>
  <c r="K196" i="5"/>
  <c r="K197" i="5"/>
  <c r="K198" i="5"/>
  <c r="K199" i="5"/>
  <c r="K200" i="5"/>
  <c r="K201" i="5"/>
  <c r="K202" i="5"/>
  <c r="K203" i="5"/>
  <c r="K204" i="5"/>
  <c r="K205" i="5"/>
  <c r="K206" i="5"/>
  <c r="K207" i="5"/>
  <c r="K208" i="5"/>
  <c r="K209" i="5"/>
  <c r="K210" i="5"/>
  <c r="K211" i="5"/>
  <c r="K187" i="5"/>
  <c r="M216" i="5"/>
  <c r="M217" i="5"/>
  <c r="M218" i="5"/>
  <c r="M219" i="5"/>
  <c r="M220" i="5"/>
  <c r="M221" i="5"/>
  <c r="M222" i="5"/>
  <c r="M223" i="5"/>
  <c r="M224" i="5"/>
  <c r="M225" i="5"/>
  <c r="M215" i="5"/>
  <c r="L216" i="5"/>
  <c r="L217" i="5"/>
  <c r="L218" i="5"/>
  <c r="L219" i="5"/>
  <c r="L220" i="5"/>
  <c r="L221" i="5"/>
  <c r="L222" i="5"/>
  <c r="L223" i="5"/>
  <c r="L224" i="5"/>
  <c r="L225" i="5"/>
  <c r="L215" i="5"/>
  <c r="K216" i="5"/>
  <c r="K217" i="5"/>
  <c r="K218" i="5"/>
  <c r="K219" i="5"/>
  <c r="K220" i="5"/>
  <c r="K221" i="5"/>
  <c r="K222" i="5"/>
  <c r="K223" i="5"/>
  <c r="K224" i="5"/>
  <c r="K225" i="5"/>
  <c r="K215" i="5"/>
  <c r="M213" i="5"/>
  <c r="M212" i="5"/>
  <c r="L212" i="5"/>
  <c r="K213" i="5"/>
  <c r="K212" i="5"/>
  <c r="M188" i="5"/>
  <c r="M189" i="5"/>
  <c r="M190" i="5"/>
  <c r="M191" i="5"/>
  <c r="M192" i="5"/>
  <c r="M193" i="5"/>
  <c r="M194" i="5"/>
  <c r="M195" i="5"/>
  <c r="M196" i="5"/>
  <c r="M197" i="5"/>
  <c r="M198" i="5"/>
  <c r="M199" i="5"/>
  <c r="M200" i="5"/>
  <c r="M201" i="5"/>
  <c r="M202" i="5"/>
  <c r="M203" i="5"/>
  <c r="M204" i="5"/>
  <c r="M205" i="5"/>
  <c r="M206" i="5"/>
  <c r="M207" i="5"/>
  <c r="M208" i="5"/>
  <c r="M209" i="5"/>
  <c r="M210" i="5"/>
  <c r="M211" i="5"/>
  <c r="M187" i="5"/>
  <c r="L188" i="5"/>
  <c r="L189" i="5"/>
  <c r="L190" i="5"/>
  <c r="L191" i="5"/>
  <c r="L192" i="5"/>
  <c r="L193" i="5"/>
  <c r="L194" i="5"/>
  <c r="L195" i="5"/>
  <c r="L196" i="5"/>
  <c r="L197" i="5"/>
  <c r="L198" i="5"/>
  <c r="L199" i="5"/>
  <c r="L200" i="5"/>
  <c r="L201" i="5"/>
  <c r="L202" i="5"/>
  <c r="L203" i="5"/>
  <c r="L204" i="5"/>
  <c r="L205" i="5"/>
  <c r="L206" i="5"/>
  <c r="L207" i="5"/>
  <c r="L208" i="5"/>
  <c r="L209" i="5"/>
  <c r="L210" i="5"/>
  <c r="L211" i="5"/>
  <c r="L187" i="5"/>
  <c r="M186" i="5"/>
  <c r="L186" i="5"/>
  <c r="K186" i="5"/>
  <c r="K184" i="5"/>
  <c r="K185" i="5"/>
  <c r="M185" i="5"/>
  <c r="L185" i="5"/>
  <c r="M181" i="5"/>
  <c r="M182" i="5"/>
  <c r="M183" i="5"/>
  <c r="M180" i="5"/>
  <c r="L181" i="5"/>
  <c r="L182" i="5"/>
  <c r="L183" i="5"/>
  <c r="L180" i="5"/>
  <c r="K181" i="5"/>
  <c r="K182" i="5"/>
  <c r="K183" i="5"/>
  <c r="K180" i="5"/>
  <c r="M173" i="5"/>
  <c r="M174" i="5"/>
  <c r="M175" i="5"/>
  <c r="M176" i="5"/>
  <c r="M177" i="5"/>
  <c r="M178" i="5"/>
  <c r="M179" i="5"/>
  <c r="M172" i="5"/>
  <c r="L173" i="5"/>
  <c r="L174" i="5"/>
  <c r="L175" i="5"/>
  <c r="L176" i="5"/>
  <c r="L177" i="5"/>
  <c r="L178" i="5"/>
  <c r="L179" i="5"/>
  <c r="L172" i="5"/>
  <c r="K173" i="5"/>
  <c r="K174" i="5"/>
  <c r="K175" i="5"/>
  <c r="K176" i="5"/>
  <c r="K177" i="5"/>
  <c r="K178" i="5"/>
  <c r="K179" i="5"/>
  <c r="K172" i="5"/>
  <c r="M161" i="5"/>
  <c r="M162" i="5"/>
  <c r="M163" i="5"/>
  <c r="M164" i="5"/>
  <c r="M165" i="5"/>
  <c r="M166" i="5"/>
  <c r="M167" i="5"/>
  <c r="M168" i="5"/>
  <c r="M169" i="5"/>
  <c r="M170" i="5"/>
  <c r="M171" i="5"/>
  <c r="M160" i="5"/>
  <c r="L161" i="5"/>
  <c r="L162" i="5"/>
  <c r="L163" i="5"/>
  <c r="L164" i="5"/>
  <c r="L165" i="5"/>
  <c r="L166" i="5"/>
  <c r="L167" i="5"/>
  <c r="L168" i="5"/>
  <c r="L169" i="5"/>
  <c r="L170" i="5"/>
  <c r="L171" i="5"/>
  <c r="L160" i="5"/>
  <c r="K161" i="5"/>
  <c r="K162" i="5"/>
  <c r="K163" i="5"/>
  <c r="K164" i="5"/>
  <c r="K165" i="5"/>
  <c r="K166" i="5"/>
  <c r="K167" i="5"/>
  <c r="K168" i="5"/>
  <c r="K169" i="5"/>
  <c r="K170" i="5"/>
  <c r="K171" i="5"/>
  <c r="K160" i="5"/>
  <c r="M159" i="5"/>
  <c r="M158" i="5"/>
  <c r="L159" i="5"/>
  <c r="L158" i="5"/>
  <c r="K159" i="5"/>
  <c r="K158"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31" i="5"/>
  <c r="K157"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31" i="5"/>
  <c r="M129" i="5"/>
  <c r="M130" i="5"/>
  <c r="M128" i="5"/>
  <c r="L129" i="5"/>
  <c r="L130" i="5"/>
  <c r="L128" i="5"/>
  <c r="K129" i="5"/>
  <c r="K130" i="5"/>
  <c r="K128" i="5"/>
  <c r="M125" i="5"/>
  <c r="M126" i="5"/>
  <c r="M124" i="5"/>
  <c r="L125" i="5"/>
  <c r="L126" i="5"/>
  <c r="L124" i="5"/>
  <c r="K125" i="5"/>
  <c r="K126" i="5"/>
  <c r="K124" i="5"/>
  <c r="M184" i="5"/>
  <c r="L184" i="5"/>
  <c r="K56" i="1"/>
  <c r="J83" i="1"/>
  <c r="L105" i="1" l="1"/>
  <c r="L92" i="1"/>
  <c r="L91" i="1"/>
  <c r="L95" i="1" l="1"/>
  <c r="L96" i="1"/>
  <c r="L97" i="1"/>
  <c r="L98" i="1"/>
  <c r="L99" i="1"/>
  <c r="L100" i="1"/>
  <c r="L101" i="1"/>
  <c r="L102" i="1"/>
  <c r="L103" i="1"/>
  <c r="L104" i="1"/>
  <c r="L94" i="1"/>
  <c r="K95" i="1"/>
  <c r="K96" i="1"/>
  <c r="K97" i="1"/>
  <c r="K98" i="1"/>
  <c r="K99" i="1"/>
  <c r="K100" i="1"/>
  <c r="K101" i="1"/>
  <c r="K102" i="1"/>
  <c r="K103" i="1"/>
  <c r="K104" i="1"/>
  <c r="K105" i="1"/>
  <c r="K94" i="1"/>
  <c r="J95" i="1"/>
  <c r="J96" i="1"/>
  <c r="J97" i="1"/>
  <c r="J98" i="1"/>
  <c r="J99" i="1"/>
  <c r="J100" i="1"/>
  <c r="J101" i="1"/>
  <c r="J102" i="1"/>
  <c r="J103" i="1"/>
  <c r="J104" i="1"/>
  <c r="J105" i="1"/>
  <c r="J94" i="1"/>
  <c r="J91" i="1"/>
  <c r="J92" i="1" s="1"/>
  <c r="K91" i="1"/>
  <c r="K92" i="1" s="1"/>
  <c r="L67" i="1"/>
  <c r="L68" i="1"/>
  <c r="L69" i="1"/>
  <c r="L70" i="1"/>
  <c r="L71" i="1"/>
  <c r="L72" i="1"/>
  <c r="L73" i="1"/>
  <c r="L74" i="1"/>
  <c r="L75" i="1"/>
  <c r="L76" i="1"/>
  <c r="L77" i="1"/>
  <c r="L78" i="1"/>
  <c r="L79" i="1"/>
  <c r="L80" i="1"/>
  <c r="L81" i="1"/>
  <c r="L82" i="1"/>
  <c r="L83" i="1"/>
  <c r="L84" i="1"/>
  <c r="L85" i="1"/>
  <c r="L86" i="1"/>
  <c r="L87" i="1"/>
  <c r="L88" i="1"/>
  <c r="L89" i="1"/>
  <c r="L90" i="1"/>
  <c r="L66" i="1"/>
  <c r="K89" i="1"/>
  <c r="K90" i="1"/>
  <c r="K67" i="1"/>
  <c r="K68" i="1"/>
  <c r="K69" i="1"/>
  <c r="K70" i="1"/>
  <c r="K71" i="1"/>
  <c r="K72" i="1"/>
  <c r="K73" i="1"/>
  <c r="K74" i="1"/>
  <c r="K75" i="1"/>
  <c r="K76" i="1"/>
  <c r="K77" i="1"/>
  <c r="K78" i="1"/>
  <c r="K79" i="1"/>
  <c r="K80" i="1"/>
  <c r="K81" i="1"/>
  <c r="K82" i="1"/>
  <c r="K83" i="1"/>
  <c r="K84" i="1"/>
  <c r="K85" i="1"/>
  <c r="K86" i="1"/>
  <c r="K87" i="1"/>
  <c r="K88" i="1"/>
  <c r="K66" i="1"/>
  <c r="J67" i="1"/>
  <c r="J68" i="1"/>
  <c r="J69" i="1"/>
  <c r="J70" i="1"/>
  <c r="J71" i="1"/>
  <c r="J72" i="1"/>
  <c r="J73" i="1"/>
  <c r="J74" i="1"/>
  <c r="J75" i="1"/>
  <c r="J76" i="1"/>
  <c r="J77" i="1"/>
  <c r="J78" i="1"/>
  <c r="J79" i="1"/>
  <c r="J80" i="1"/>
  <c r="J81" i="1"/>
  <c r="J82" i="1"/>
  <c r="J84" i="1"/>
  <c r="J85" i="1"/>
  <c r="J86" i="1"/>
  <c r="J87" i="1"/>
  <c r="J88" i="1"/>
  <c r="J89" i="1"/>
  <c r="J90" i="1"/>
  <c r="J66" i="1"/>
  <c r="L64" i="1"/>
  <c r="L65" i="1"/>
  <c r="L63" i="1"/>
  <c r="K64" i="1"/>
  <c r="K65" i="1"/>
  <c r="K63" i="1"/>
  <c r="J64" i="1"/>
  <c r="J65" i="1"/>
  <c r="J63" i="1"/>
  <c r="L60" i="1"/>
  <c r="L61" i="1"/>
  <c r="L62" i="1"/>
  <c r="L59" i="1"/>
  <c r="K60" i="1"/>
  <c r="K61" i="1"/>
  <c r="K62" i="1"/>
  <c r="K59" i="1"/>
  <c r="J60" i="1"/>
  <c r="J61" i="1"/>
  <c r="J62" i="1"/>
  <c r="J59" i="1"/>
  <c r="L58" i="1"/>
  <c r="L52" i="1"/>
  <c r="L53" i="1"/>
  <c r="L54" i="1"/>
  <c r="L55" i="1"/>
  <c r="L56" i="1"/>
  <c r="L57" i="1"/>
  <c r="L51" i="1"/>
  <c r="K52" i="1"/>
  <c r="K53" i="1"/>
  <c r="K54" i="1"/>
  <c r="K55" i="1"/>
  <c r="K57" i="1"/>
  <c r="K58" i="1"/>
  <c r="K51" i="1"/>
  <c r="J52" i="1"/>
  <c r="J53" i="1"/>
  <c r="J54" i="1"/>
  <c r="J55" i="1"/>
  <c r="J56" i="1"/>
  <c r="J57" i="1"/>
  <c r="J58" i="1"/>
  <c r="J51" i="1"/>
  <c r="L40" i="1"/>
  <c r="L41" i="1"/>
  <c r="L42" i="1"/>
  <c r="L43" i="1"/>
  <c r="L44" i="1"/>
  <c r="L45" i="1"/>
  <c r="L46" i="1"/>
  <c r="L47" i="1"/>
  <c r="L48" i="1"/>
  <c r="L49" i="1"/>
  <c r="L50" i="1"/>
  <c r="L39" i="1"/>
  <c r="K40" i="1"/>
  <c r="K41" i="1"/>
  <c r="K42" i="1"/>
  <c r="K43" i="1"/>
  <c r="K44" i="1"/>
  <c r="K45" i="1"/>
  <c r="K46" i="1"/>
  <c r="K47" i="1"/>
  <c r="K48" i="1"/>
  <c r="K49" i="1"/>
  <c r="K50" i="1"/>
  <c r="K39" i="1"/>
  <c r="J40" i="1"/>
  <c r="J41" i="1"/>
  <c r="J42" i="1"/>
  <c r="J43" i="1"/>
  <c r="J44" i="1"/>
  <c r="J45" i="1"/>
  <c r="J46" i="1"/>
  <c r="J47" i="1"/>
  <c r="J48" i="1"/>
  <c r="J49" i="1"/>
  <c r="J50" i="1"/>
  <c r="J39" i="1"/>
  <c r="L38" i="1"/>
  <c r="L37" i="1"/>
  <c r="K38" i="1"/>
  <c r="K37" i="1"/>
  <c r="J38" i="1"/>
  <c r="J37" i="1"/>
  <c r="L11" i="1"/>
  <c r="L12" i="1"/>
  <c r="L13" i="1"/>
  <c r="L14" i="1"/>
  <c r="L15" i="1"/>
  <c r="L16" i="1"/>
  <c r="L17" i="1"/>
  <c r="L18" i="1"/>
  <c r="L19" i="1"/>
  <c r="L20" i="1"/>
  <c r="L21" i="1"/>
  <c r="L22" i="1"/>
  <c r="L23" i="1"/>
  <c r="L24" i="1"/>
  <c r="L25" i="1"/>
  <c r="L26" i="1"/>
  <c r="L27" i="1"/>
  <c r="L28" i="1"/>
  <c r="L29" i="1"/>
  <c r="L30" i="1"/>
  <c r="L31" i="1"/>
  <c r="L32" i="1"/>
  <c r="L33" i="1"/>
  <c r="L34" i="1"/>
  <c r="L35" i="1"/>
  <c r="L36" i="1"/>
  <c r="L10" i="1"/>
  <c r="K11" i="1"/>
  <c r="K12" i="1"/>
  <c r="K13" i="1"/>
  <c r="K14" i="1"/>
  <c r="K15" i="1"/>
  <c r="K16" i="1"/>
  <c r="K17" i="1"/>
  <c r="K18" i="1"/>
  <c r="K19" i="1"/>
  <c r="K20" i="1"/>
  <c r="K21" i="1"/>
  <c r="K22" i="1"/>
  <c r="K23" i="1"/>
  <c r="K24" i="1"/>
  <c r="K25" i="1"/>
  <c r="K26" i="1"/>
  <c r="K27" i="1"/>
  <c r="K28" i="1"/>
  <c r="K29" i="1"/>
  <c r="K30" i="1"/>
  <c r="K31" i="1"/>
  <c r="K32" i="1"/>
  <c r="K33" i="1"/>
  <c r="K34" i="1"/>
  <c r="K35" i="1"/>
  <c r="K36" i="1"/>
  <c r="K10" i="1"/>
  <c r="J11" i="1"/>
  <c r="J12" i="1"/>
  <c r="J13" i="1"/>
  <c r="J14" i="1"/>
  <c r="J15" i="1"/>
  <c r="J16" i="1"/>
  <c r="J17" i="1"/>
  <c r="J18" i="1"/>
  <c r="J19" i="1"/>
  <c r="J20" i="1"/>
  <c r="J21" i="1"/>
  <c r="J22" i="1"/>
  <c r="J23" i="1"/>
  <c r="J24" i="1"/>
  <c r="J25" i="1"/>
  <c r="J26" i="1"/>
  <c r="J27" i="1"/>
  <c r="J28" i="1"/>
  <c r="J29" i="1"/>
  <c r="J30" i="1"/>
  <c r="J31" i="1"/>
  <c r="J32" i="1"/>
  <c r="J33" i="1"/>
  <c r="J34" i="1"/>
  <c r="J35" i="1"/>
  <c r="J36" i="1"/>
  <c r="J10" i="1"/>
  <c r="L8" i="1"/>
  <c r="L9" i="1"/>
  <c r="L7" i="1"/>
  <c r="K8" i="1"/>
  <c r="K9" i="1"/>
  <c r="K7" i="1"/>
  <c r="J8" i="1"/>
  <c r="J9" i="1"/>
  <c r="J7" i="1"/>
  <c r="L4" i="1"/>
  <c r="L5" i="1"/>
  <c r="L3" i="1"/>
  <c r="J3" i="1"/>
  <c r="K4" i="1"/>
  <c r="K5" i="1"/>
  <c r="K3" i="1"/>
  <c r="J4" i="1"/>
  <c r="J5" i="1"/>
</calcChain>
</file>

<file path=xl/sharedStrings.xml><?xml version="1.0" encoding="utf-8"?>
<sst xmlns="http://schemas.openxmlformats.org/spreadsheetml/2006/main" count="103" uniqueCount="41">
  <si>
    <t xml:space="preserve">       NA </t>
  </si>
  <si>
    <t xml:space="preserve">        Inf</t>
  </si>
  <si>
    <t>1185194 1</t>
  </si>
  <si>
    <t>1167573 8</t>
  </si>
  <si>
    <t>3598814 3</t>
  </si>
  <si>
    <t xml:space="preserve">game_id </t>
  </si>
  <si>
    <t>campaign_id</t>
  </si>
  <si>
    <t xml:space="preserve">country_id </t>
  </si>
  <si>
    <t xml:space="preserve">adgroup_id </t>
  </si>
  <si>
    <t>revenue</t>
  </si>
  <si>
    <t>impressions</t>
  </si>
  <si>
    <t xml:space="preserve">clicks   </t>
  </si>
  <si>
    <t xml:space="preserve">ctr   </t>
  </si>
  <si>
    <t> eCPM</t>
  </si>
  <si>
    <t>%revenue</t>
  </si>
  <si>
    <t>%impression</t>
  </si>
  <si>
    <t>%click</t>
  </si>
  <si>
    <t xml:space="preserve"> game_id </t>
  </si>
  <si>
    <t xml:space="preserve">campaign_id  </t>
  </si>
  <si>
    <t xml:space="preserve">     rev</t>
  </si>
  <si>
    <t>102241</t>
  </si>
  <si>
    <t>game_id</t>
  </si>
  <si>
    <t>rev</t>
  </si>
  <si>
    <t>Highest revenue generating games</t>
  </si>
  <si>
    <t>no of campaigns</t>
  </si>
  <si>
    <t>No of campaigns for highest revenue generating games</t>
  </si>
  <si>
    <t>Campaign performance based on country</t>
  </si>
  <si>
    <t>Adgroup performance with relative campaign</t>
  </si>
  <si>
    <t>INSIGHTS</t>
  </si>
  <si>
    <t>There are certain campaigns that are recieving very less impressions and clicks and generate very negligible amount of revenue, they can be removed and yet maintained a stable yet optimised campaigns generating revenue</t>
  </si>
  <si>
    <t>There are certain adgroups that are underperforming in certain campaigns. they can be removed to decrease source allocated and yet maintain stable revenue generation.</t>
  </si>
  <si>
    <t xml:space="preserve">The vice-versa of insight-2, there are certain games that doesn't have enough campaigns running, yet have decent impressions, meaning the revenue generated can be increased </t>
  </si>
  <si>
    <t>The campaigns that are being run for country_id- 1643084 is just 2 campaigns, they have decent click rate and impressions so the revenue generated can be improved provided more campaigns are run for this country as well.</t>
  </si>
  <si>
    <t>CALLOUT</t>
  </si>
  <si>
    <t>The rows marked in red are the adgroups in campaigns that can be avoided in order to maximise the revenue with minimum traffic allocation since they are not generating sufficient revenue</t>
  </si>
  <si>
    <t>The rows marked in yellow represent the campaigns that are being run in country with id 1643084.This indicates that there can be more campaigns to increase their revenue</t>
  </si>
  <si>
    <t>The rows marked in green indicates the entries which has to the potential to generate more revenue on increasing the number of campaigns</t>
  </si>
  <si>
    <t>The rows marked in magenta:                                                                                                                                                                 1) game_id = 19383848 has zero impressions and so running campaigns to this game can be avoided                                              2)game_ids 52065646 and 94757439 have very negligible amount of impressions and so either campaigns can be avoided or the traffic driven to these games have to be improved by running more campaigns</t>
  </si>
  <si>
    <t>GOAL</t>
  </si>
  <si>
    <t>To improve revenue for each game or cut cost in terms of non-revenue generating ads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</si>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</sst>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font>
      <sz val="10"/>
      <color indexed="8"/>
      <name val="Helvetica Neue"/>
    </font>
    <font>
      <sz val="12"/>
      <color indexed="8"/>
      <name val="Helvetica Neue"/>
    </font>
    <font>
      <sz val="10"/>
      <color indexed="8"/>
      <name val="Helvetica Neue"/>
    </font>
    <font>
      <b/>
      <sz val="10"/>
      <color indexed="8"/>
      <name val="Helvetica Neue"/>
    </font>
    <font>
      <sz val="10"/>
      <color theme="1"/>
      <name val="Helvetica Neue"/>
    </font>
  </fonts>
  <fills count="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6" tint="0.59999389629810485"/>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10"/>
      </right>
      <top style="thin">
        <color indexed="10"/>
      </top>
      <bottom style="thin">
        <color indexed="10"/>
      </bottom>
      <diagonal/>
    </border>
    <border>
      <left style="thin">
        <color indexed="10"/>
      </left>
      <right style="medium">
        <color indexed="64"/>
      </right>
      <top style="thin">
        <color indexed="10"/>
      </top>
      <bottom style="thin">
        <color indexed="10"/>
      </bottom>
      <diagonal/>
    </border>
    <border>
      <left style="medium">
        <color indexed="64"/>
      </left>
      <right style="thin">
        <color indexed="10"/>
      </right>
      <top style="thin">
        <color indexed="10"/>
      </top>
      <bottom style="medium">
        <color indexed="64"/>
      </bottom>
      <diagonal/>
    </border>
    <border>
      <left style="thin">
        <color indexed="10"/>
      </left>
      <right style="thin">
        <color indexed="10"/>
      </right>
      <top style="thin">
        <color indexed="10"/>
      </top>
      <bottom style="medium">
        <color indexed="64"/>
      </bottom>
      <diagonal/>
    </border>
    <border>
      <left style="thin">
        <color indexed="10"/>
      </left>
      <right style="medium">
        <color indexed="64"/>
      </right>
      <top style="thin">
        <color indexed="10"/>
      </top>
      <bottom style="medium">
        <color indexed="64"/>
      </bottom>
      <diagonal/>
    </border>
    <border>
      <left style="medium">
        <color indexed="64"/>
      </left>
      <right style="thin">
        <color indexed="10"/>
      </right>
      <top style="medium">
        <color indexed="64"/>
      </top>
      <bottom style="thin">
        <color indexed="10"/>
      </bottom>
      <diagonal/>
    </border>
    <border>
      <left style="thin">
        <color indexed="10"/>
      </left>
      <right style="thin">
        <color indexed="10"/>
      </right>
      <top style="medium">
        <color indexed="64"/>
      </top>
      <bottom style="thin">
        <color indexed="10"/>
      </bottom>
      <diagonal/>
    </border>
    <border>
      <left style="thin">
        <color indexed="10"/>
      </left>
      <right style="medium">
        <color indexed="64"/>
      </right>
      <top style="medium">
        <color indexed="64"/>
      </top>
      <bottom style="thin">
        <color indexed="1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thin">
        <color indexed="10"/>
      </bottom>
      <diagonal/>
    </border>
    <border>
      <left/>
      <right style="medium">
        <color indexed="64"/>
      </right>
      <top style="thin">
        <color indexed="10"/>
      </top>
      <bottom style="thin">
        <color indexed="10"/>
      </bottom>
      <diagonal/>
    </border>
    <border>
      <left/>
      <right style="medium">
        <color indexed="64"/>
      </right>
      <top style="thin">
        <color indexed="10"/>
      </top>
      <bottom style="medium">
        <color indexed="64"/>
      </bottom>
      <diagonal/>
    </border>
    <border>
      <left style="medium">
        <color indexed="64"/>
      </left>
      <right style="medium">
        <color indexed="64"/>
      </right>
      <top/>
      <bottom style="thin">
        <color indexed="10"/>
      </bottom>
      <diagonal/>
    </border>
    <border>
      <left style="medium">
        <color indexed="64"/>
      </left>
      <right style="medium">
        <color indexed="64"/>
      </right>
      <top style="thin">
        <color indexed="10"/>
      </top>
      <bottom style="thin">
        <color indexed="10"/>
      </bottom>
      <diagonal/>
    </border>
    <border>
      <left style="medium">
        <color indexed="64"/>
      </left>
      <right style="medium">
        <color indexed="64"/>
      </right>
      <top style="thin">
        <color indexed="10"/>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diagonal/>
    </border>
    <border>
      <left/>
      <right/>
      <top/>
      <bottom style="thin">
        <color indexed="10"/>
      </bottom>
      <diagonal/>
    </border>
    <border>
      <left/>
      <right/>
      <top style="thin">
        <color indexed="10"/>
      </top>
      <bottom style="thin">
        <color indexed="10"/>
      </bottom>
      <diagonal/>
    </border>
    <border>
      <left/>
      <right/>
      <top style="thin">
        <color indexed="10"/>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applyNumberFormat="0" applyFill="0" applyBorder="0" applyProtection="0">
      <alignment vertical="top" wrapText="1"/>
    </xf>
    <xf numFmtId="9" fontId="2" fillId="0" borderId="0" applyFont="0" applyFill="0" applyBorder="0" applyAlignment="0" applyProtection="0"/>
  </cellStyleXfs>
  <cellXfs count="183">
    <xf numFmtId="0" fontId="0" fillId="0" borderId="0" xfId="0" applyFont="1" applyAlignment="1">
      <alignment vertical="top" wrapText="1"/>
    </xf>
    <xf numFmtId="0" fontId="0" fillId="0" borderId="0" xfId="0" applyNumberFormat="1" applyFont="1" applyAlignment="1">
      <alignment vertical="top" wrapText="1"/>
    </xf>
    <xf numFmtId="0" fontId="0" fillId="0" borderId="1" xfId="0" applyNumberFormat="1" applyFont="1" applyBorder="1" applyAlignment="1">
      <alignment vertical="top" wrapText="1"/>
    </xf>
    <xf numFmtId="1" fontId="0" fillId="0" borderId="1" xfId="0" applyNumberFormat="1" applyFont="1" applyBorder="1" applyAlignment="1">
      <alignment vertical="top" wrapText="1"/>
    </xf>
    <xf numFmtId="49" fontId="0" fillId="0" borderId="1" xfId="0" applyNumberFormat="1" applyFont="1" applyBorder="1" applyAlignment="1">
      <alignment vertical="top" wrapText="1"/>
    </xf>
    <xf numFmtId="2" fontId="0" fillId="0" borderId="1" xfId="0" applyNumberFormat="1" applyFont="1" applyBorder="1" applyAlignment="1">
      <alignment vertical="top"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3" xfId="0" applyNumberFormat="1" applyFont="1" applyBorder="1" applyAlignment="1">
      <alignment vertical="top" wrapText="1"/>
    </xf>
    <xf numFmtId="0" fontId="0" fillId="0" borderId="4" xfId="0" applyNumberFormat="1" applyFont="1" applyBorder="1" applyAlignment="1">
      <alignment vertical="top" wrapText="1"/>
    </xf>
    <xf numFmtId="1" fontId="0" fillId="0" borderId="5" xfId="0" applyNumberFormat="1" applyFont="1" applyBorder="1" applyAlignment="1">
      <alignment vertical="top" wrapText="1"/>
    </xf>
    <xf numFmtId="1" fontId="0" fillId="0" borderId="6" xfId="0" applyNumberFormat="1" applyFont="1" applyBorder="1" applyAlignment="1">
      <alignment vertical="top" wrapText="1"/>
    </xf>
    <xf numFmtId="0" fontId="0" fillId="0" borderId="6" xfId="0" applyNumberFormat="1" applyFont="1" applyBorder="1" applyAlignment="1">
      <alignment vertical="top" wrapText="1"/>
    </xf>
    <xf numFmtId="1" fontId="0" fillId="0" borderId="7" xfId="0" applyNumberFormat="1" applyFont="1" applyBorder="1" applyAlignment="1">
      <alignment vertical="top" wrapText="1"/>
    </xf>
    <xf numFmtId="1" fontId="0" fillId="0" borderId="8" xfId="0" applyNumberFormat="1" applyFont="1" applyBorder="1" applyAlignment="1">
      <alignment vertical="top" wrapText="1"/>
    </xf>
    <xf numFmtId="0" fontId="0" fillId="0" borderId="8" xfId="0" applyNumberFormat="1" applyFont="1" applyBorder="1" applyAlignment="1">
      <alignment vertical="top" wrapText="1"/>
    </xf>
    <xf numFmtId="0" fontId="0" fillId="0" borderId="9" xfId="0" applyNumberFormat="1" applyFont="1" applyBorder="1" applyAlignment="1">
      <alignment vertical="top" wrapText="1"/>
    </xf>
    <xf numFmtId="0" fontId="1" fillId="0" borderId="0" xfId="0" applyFont="1" applyAlignment="1">
      <alignment horizontal="center" vertical="center"/>
    </xf>
    <xf numFmtId="1" fontId="0" fillId="0" borderId="10" xfId="0" applyNumberFormat="1" applyFont="1" applyBorder="1" applyAlignment="1">
      <alignment vertical="top" wrapText="1"/>
    </xf>
    <xf numFmtId="164" fontId="0" fillId="0" borderId="11" xfId="0" applyNumberFormat="1" applyFont="1" applyBorder="1" applyAlignment="1">
      <alignment vertical="top" wrapText="1"/>
    </xf>
    <xf numFmtId="164" fontId="0" fillId="0" borderId="13" xfId="0" applyNumberFormat="1" applyFont="1" applyBorder="1" applyAlignment="1">
      <alignment vertical="top" wrapText="1"/>
    </xf>
    <xf numFmtId="0" fontId="0" fillId="0" borderId="0" xfId="0" applyFont="1" applyAlignment="1">
      <alignment vertical="top" wrapText="1"/>
    </xf>
    <xf numFmtId="1" fontId="0" fillId="0" borderId="12" xfId="0" applyNumberFormat="1" applyFont="1" applyBorder="1" applyAlignment="1">
      <alignment vertical="top" wrapText="1"/>
    </xf>
    <xf numFmtId="1" fontId="0" fillId="0" borderId="13" xfId="0" applyNumberFormat="1" applyFont="1" applyBorder="1" applyAlignment="1">
      <alignment vertical="top" wrapText="1"/>
    </xf>
    <xf numFmtId="0" fontId="0" fillId="0" borderId="13" xfId="0" applyNumberFormat="1" applyFont="1" applyBorder="1" applyAlignment="1">
      <alignment vertical="top" wrapText="1"/>
    </xf>
    <xf numFmtId="49" fontId="0" fillId="0" borderId="13" xfId="0" applyNumberFormat="1" applyFont="1" applyBorder="1" applyAlignment="1">
      <alignment vertical="top" wrapText="1"/>
    </xf>
    <xf numFmtId="2" fontId="0" fillId="0" borderId="3" xfId="0" applyNumberFormat="1" applyFont="1" applyBorder="1" applyAlignment="1">
      <alignment vertical="top" wrapText="1"/>
    </xf>
    <xf numFmtId="2" fontId="0" fillId="0" borderId="8" xfId="0" applyNumberFormat="1" applyFont="1" applyBorder="1" applyAlignment="1">
      <alignment vertical="top" wrapText="1"/>
    </xf>
    <xf numFmtId="2" fontId="0" fillId="0" borderId="0" xfId="0" applyNumberFormat="1" applyFont="1" applyAlignment="1">
      <alignment vertical="top" wrapText="1"/>
    </xf>
    <xf numFmtId="1" fontId="0" fillId="0" borderId="18" xfId="0" applyNumberFormat="1" applyFont="1" applyBorder="1" applyAlignment="1">
      <alignment vertical="top" wrapText="1"/>
    </xf>
    <xf numFmtId="0" fontId="0" fillId="0" borderId="19" xfId="0" applyNumberFormat="1" applyFont="1" applyBorder="1" applyAlignment="1">
      <alignment vertical="top" wrapText="1"/>
    </xf>
    <xf numFmtId="1" fontId="0" fillId="0" borderId="20" xfId="0" applyNumberFormat="1" applyFont="1" applyBorder="1" applyAlignment="1">
      <alignment vertical="top" wrapText="1"/>
    </xf>
    <xf numFmtId="0" fontId="0" fillId="0" borderId="4" xfId="0" applyFont="1" applyBorder="1" applyAlignment="1">
      <alignment vertical="top" wrapText="1"/>
    </xf>
    <xf numFmtId="164" fontId="0" fillId="0" borderId="6" xfId="0" applyNumberFormat="1" applyFont="1" applyBorder="1" applyAlignment="1">
      <alignment vertical="top" wrapText="1"/>
    </xf>
    <xf numFmtId="164" fontId="0" fillId="0" borderId="9" xfId="0" applyNumberFormat="1" applyFont="1" applyBorder="1" applyAlignment="1">
      <alignment vertical="top" wrapText="1"/>
    </xf>
    <xf numFmtId="49" fontId="0" fillId="0" borderId="23" xfId="0" applyNumberFormat="1" applyFont="1" applyBorder="1" applyAlignment="1">
      <alignment vertical="top" wrapText="1"/>
    </xf>
    <xf numFmtId="49" fontId="0" fillId="0" borderId="24" xfId="0" applyNumberFormat="1" applyFont="1" applyBorder="1" applyAlignment="1">
      <alignment vertical="top" wrapText="1"/>
    </xf>
    <xf numFmtId="49" fontId="0" fillId="0" borderId="25" xfId="0" applyNumberFormat="1" applyFont="1" applyBorder="1" applyAlignment="1">
      <alignment vertical="top" wrapText="1"/>
    </xf>
    <xf numFmtId="1" fontId="0" fillId="0" borderId="21" xfId="0" applyNumberFormat="1" applyFont="1" applyBorder="1" applyAlignment="1">
      <alignment vertical="top" wrapText="1"/>
    </xf>
    <xf numFmtId="0" fontId="0" fillId="0" borderId="22" xfId="0" applyNumberFormat="1" applyFont="1" applyBorder="1" applyAlignment="1">
      <alignment vertical="top" wrapText="1"/>
    </xf>
    <xf numFmtId="0" fontId="3" fillId="3" borderId="26" xfId="0" applyFont="1" applyFill="1" applyBorder="1" applyAlignment="1">
      <alignment horizontal="center" vertical="top" wrapText="1"/>
    </xf>
    <xf numFmtId="0" fontId="3" fillId="3" borderId="28" xfId="0" applyFont="1" applyFill="1" applyBorder="1" applyAlignment="1">
      <alignment horizontal="center" vertical="top" wrapText="1"/>
    </xf>
    <xf numFmtId="0" fontId="3" fillId="3" borderId="27" xfId="0" applyFont="1" applyFill="1" applyBorder="1" applyAlignment="1">
      <alignment horizontal="center" vertical="top" wrapText="1"/>
    </xf>
    <xf numFmtId="0" fontId="3" fillId="0" borderId="27" xfId="0" applyFont="1" applyBorder="1" applyAlignment="1">
      <alignment horizontal="center" vertical="top" wrapText="1"/>
    </xf>
    <xf numFmtId="164" fontId="0" fillId="0" borderId="29" xfId="0" applyNumberFormat="1" applyFont="1" applyBorder="1" applyAlignment="1">
      <alignment horizontal="right" vertical="top" wrapText="1"/>
    </xf>
    <xf numFmtId="164" fontId="0" fillId="0" borderId="30" xfId="0" applyNumberFormat="1" applyFont="1" applyBorder="1" applyAlignment="1">
      <alignment horizontal="right" vertical="top" wrapText="1"/>
    </xf>
    <xf numFmtId="0" fontId="0" fillId="0" borderId="30" xfId="0" applyNumberFormat="1" applyFont="1" applyBorder="1" applyAlignment="1">
      <alignment horizontal="right" vertical="top" wrapText="1"/>
    </xf>
    <xf numFmtId="1" fontId="0" fillId="0" borderId="32" xfId="0" applyNumberFormat="1" applyFont="1" applyBorder="1" applyAlignment="1">
      <alignment horizontal="right" vertical="top" wrapText="1"/>
    </xf>
    <xf numFmtId="1" fontId="0" fillId="0" borderId="33" xfId="0" applyNumberFormat="1" applyFont="1" applyBorder="1" applyAlignment="1">
      <alignment horizontal="right" vertical="top" wrapText="1"/>
    </xf>
    <xf numFmtId="1" fontId="0" fillId="0" borderId="35" xfId="0" applyNumberFormat="1" applyFont="1" applyBorder="1" applyAlignment="1">
      <alignment vertical="top" wrapText="1"/>
    </xf>
    <xf numFmtId="1" fontId="0" fillId="0" borderId="36" xfId="0" applyNumberFormat="1" applyFont="1" applyBorder="1" applyAlignment="1">
      <alignment vertical="top" wrapText="1"/>
    </xf>
    <xf numFmtId="164" fontId="0" fillId="0" borderId="38" xfId="0" applyNumberFormat="1" applyFont="1" applyBorder="1" applyAlignment="1">
      <alignment vertical="top" wrapText="1"/>
    </xf>
    <xf numFmtId="164" fontId="0" fillId="0" borderId="39" xfId="0" applyNumberFormat="1" applyFont="1" applyBorder="1" applyAlignment="1">
      <alignment vertical="top" wrapText="1"/>
    </xf>
    <xf numFmtId="0" fontId="0" fillId="0" borderId="39" xfId="0" applyNumberFormat="1" applyFont="1" applyBorder="1" applyAlignment="1">
      <alignment vertical="top" wrapText="1"/>
    </xf>
    <xf numFmtId="0" fontId="0" fillId="0" borderId="35" xfId="0" applyNumberFormat="1" applyFont="1" applyBorder="1" applyAlignment="1">
      <alignment vertical="top" wrapText="1"/>
    </xf>
    <xf numFmtId="0" fontId="0" fillId="0" borderId="36" xfId="0" applyNumberFormat="1" applyFont="1" applyBorder="1" applyAlignment="1">
      <alignment vertical="top" wrapText="1"/>
    </xf>
    <xf numFmtId="0" fontId="3" fillId="0" borderId="14" xfId="0" applyFont="1" applyBorder="1" applyAlignment="1">
      <alignment horizontal="center" vertical="center" wrapText="1"/>
    </xf>
    <xf numFmtId="0" fontId="3" fillId="0" borderId="27" xfId="0" applyFont="1" applyBorder="1" applyAlignment="1">
      <alignment horizontal="center" vertical="center" wrapText="1"/>
    </xf>
    <xf numFmtId="0" fontId="0" fillId="3" borderId="28" xfId="0" applyFont="1" applyFill="1" applyBorder="1" applyAlignment="1">
      <alignment horizontal="center" vertical="top" wrapText="1"/>
    </xf>
    <xf numFmtId="0" fontId="0" fillId="3" borderId="27" xfId="0" applyFont="1" applyFill="1" applyBorder="1" applyAlignment="1">
      <alignment horizontal="center" vertical="top" wrapText="1"/>
    </xf>
    <xf numFmtId="1" fontId="0" fillId="0" borderId="32" xfId="0" applyNumberFormat="1" applyFont="1" applyBorder="1" applyAlignment="1">
      <alignment vertical="top" wrapText="1"/>
    </xf>
    <xf numFmtId="1" fontId="0" fillId="0" borderId="33" xfId="0" applyNumberFormat="1" applyFont="1" applyBorder="1" applyAlignment="1">
      <alignment vertical="top" wrapText="1"/>
    </xf>
    <xf numFmtId="1" fontId="0" fillId="0" borderId="34" xfId="0" applyNumberFormat="1" applyFont="1" applyBorder="1" applyAlignment="1">
      <alignment vertical="top" wrapText="1"/>
    </xf>
    <xf numFmtId="1" fontId="0" fillId="0" borderId="42" xfId="0" applyNumberFormat="1" applyFont="1" applyBorder="1" applyAlignment="1">
      <alignment vertical="top" wrapText="1"/>
    </xf>
    <xf numFmtId="1" fontId="0" fillId="0" borderId="43" xfId="0" applyNumberFormat="1" applyFont="1" applyBorder="1" applyAlignment="1">
      <alignment vertical="top" wrapText="1"/>
    </xf>
    <xf numFmtId="0" fontId="0" fillId="0" borderId="43" xfId="0" applyNumberFormat="1" applyFont="1" applyBorder="1" applyAlignment="1">
      <alignment vertical="top" wrapText="1"/>
    </xf>
    <xf numFmtId="1" fontId="0" fillId="0" borderId="44" xfId="0" applyNumberFormat="1" applyFont="1" applyBorder="1" applyAlignment="1">
      <alignment vertical="top" wrapText="1"/>
    </xf>
    <xf numFmtId="0" fontId="0" fillId="0" borderId="32" xfId="0" applyNumberFormat="1" applyFont="1" applyBorder="1" applyAlignment="1">
      <alignment vertical="top" wrapText="1"/>
    </xf>
    <xf numFmtId="0" fontId="0" fillId="0" borderId="33" xfId="0" applyNumberFormat="1" applyFont="1" applyBorder="1" applyAlignment="1">
      <alignment vertical="top" wrapText="1"/>
    </xf>
    <xf numFmtId="0" fontId="0" fillId="0" borderId="34" xfId="0" applyNumberFormat="1" applyFont="1" applyBorder="1" applyAlignment="1">
      <alignment vertical="top" wrapText="1"/>
    </xf>
    <xf numFmtId="49" fontId="3" fillId="0" borderId="14" xfId="0" applyNumberFormat="1" applyFont="1" applyBorder="1" applyAlignment="1">
      <alignment horizontal="center" vertical="center" wrapText="1"/>
    </xf>
    <xf numFmtId="49" fontId="3" fillId="0" borderId="28" xfId="0" applyNumberFormat="1" applyFont="1" applyBorder="1" applyAlignment="1">
      <alignment horizontal="center" vertical="center" wrapText="1"/>
    </xf>
    <xf numFmtId="0" fontId="3" fillId="0" borderId="28" xfId="0" applyFont="1" applyBorder="1" applyAlignment="1">
      <alignment horizontal="center" vertical="center" wrapText="1"/>
    </xf>
    <xf numFmtId="1" fontId="0" fillId="0" borderId="45" xfId="0" applyNumberFormat="1" applyFont="1" applyBorder="1" applyAlignment="1">
      <alignment vertical="top" wrapText="1"/>
    </xf>
    <xf numFmtId="1" fontId="0" fillId="0" borderId="46" xfId="0" applyNumberFormat="1" applyFont="1" applyBorder="1" applyAlignment="1">
      <alignment vertical="top" wrapText="1"/>
    </xf>
    <xf numFmtId="2" fontId="3" fillId="0" borderId="26" xfId="0" applyNumberFormat="1" applyFont="1" applyBorder="1" applyAlignment="1">
      <alignment horizontal="center" vertical="center" wrapText="1"/>
    </xf>
    <xf numFmtId="2" fontId="0" fillId="0" borderId="48" xfId="0" applyNumberFormat="1" applyFont="1" applyBorder="1" applyAlignment="1">
      <alignment vertical="top" wrapText="1"/>
    </xf>
    <xf numFmtId="2" fontId="0" fillId="0" borderId="49" xfId="0" applyNumberFormat="1" applyFont="1" applyBorder="1" applyAlignment="1">
      <alignment vertical="top" wrapText="1"/>
    </xf>
    <xf numFmtId="2" fontId="3" fillId="0" borderId="14" xfId="0" applyNumberFormat="1" applyFont="1" applyBorder="1" applyAlignment="1">
      <alignment horizontal="center" vertical="center" wrapText="1"/>
    </xf>
    <xf numFmtId="2" fontId="3" fillId="0" borderId="27" xfId="0" applyNumberFormat="1" applyFont="1" applyBorder="1" applyAlignment="1">
      <alignment horizontal="center" vertical="center" wrapText="1"/>
    </xf>
    <xf numFmtId="2" fontId="0" fillId="0" borderId="35" xfId="0" applyNumberFormat="1" applyFont="1" applyBorder="1" applyAlignment="1">
      <alignment vertical="top" wrapText="1"/>
    </xf>
    <xf numFmtId="2" fontId="0" fillId="0" borderId="38" xfId="0" applyNumberFormat="1" applyFont="1" applyBorder="1" applyAlignment="1">
      <alignment vertical="top" wrapText="1"/>
    </xf>
    <xf numFmtId="2" fontId="0" fillId="0" borderId="36" xfId="0" applyNumberFormat="1" applyFont="1" applyBorder="1" applyAlignment="1">
      <alignment vertical="top" wrapText="1"/>
    </xf>
    <xf numFmtId="2" fontId="0" fillId="0" borderId="39" xfId="0" applyNumberFormat="1" applyFont="1" applyBorder="1" applyAlignment="1">
      <alignment vertical="top" wrapText="1"/>
    </xf>
    <xf numFmtId="0" fontId="3" fillId="0" borderId="26" xfId="0" applyFont="1" applyBorder="1" applyAlignment="1">
      <alignment horizontal="center" vertical="center" wrapText="1"/>
    </xf>
    <xf numFmtId="0" fontId="0" fillId="0" borderId="48" xfId="0" applyNumberFormat="1" applyFont="1" applyBorder="1" applyAlignment="1">
      <alignment vertical="top" wrapText="1"/>
    </xf>
    <xf numFmtId="0" fontId="0" fillId="0" borderId="49" xfId="0" applyNumberFormat="1" applyFont="1" applyBorder="1" applyAlignment="1">
      <alignment vertical="top" wrapText="1"/>
    </xf>
    <xf numFmtId="9" fontId="3" fillId="0" borderId="14" xfId="1" applyFont="1" applyBorder="1" applyAlignment="1">
      <alignment horizontal="center" vertical="center" wrapText="1"/>
    </xf>
    <xf numFmtId="9" fontId="3" fillId="0" borderId="27" xfId="1" applyFont="1" applyBorder="1" applyAlignment="1">
      <alignment horizontal="center" vertical="center" wrapText="1"/>
    </xf>
    <xf numFmtId="9" fontId="0" fillId="0" borderId="35" xfId="1" applyFont="1" applyBorder="1" applyAlignment="1">
      <alignment vertical="top" wrapText="1"/>
    </xf>
    <xf numFmtId="9" fontId="0" fillId="0" borderId="38" xfId="1" applyFont="1" applyBorder="1" applyAlignment="1">
      <alignment vertical="top" wrapText="1"/>
    </xf>
    <xf numFmtId="9" fontId="0" fillId="0" borderId="36" xfId="1" applyFont="1" applyBorder="1" applyAlignment="1">
      <alignment vertical="top" wrapText="1"/>
    </xf>
    <xf numFmtId="9" fontId="0" fillId="0" borderId="39" xfId="1" applyFont="1" applyBorder="1" applyAlignment="1">
      <alignment vertical="top" wrapText="1"/>
    </xf>
    <xf numFmtId="1" fontId="4" fillId="4" borderId="36" xfId="0" applyNumberFormat="1" applyFont="1" applyFill="1" applyBorder="1" applyAlignment="1">
      <alignment vertical="top" wrapText="1"/>
    </xf>
    <xf numFmtId="1" fontId="4" fillId="4" borderId="46" xfId="0" applyNumberFormat="1" applyFont="1" applyFill="1" applyBorder="1" applyAlignment="1">
      <alignment vertical="top" wrapText="1"/>
    </xf>
    <xf numFmtId="2" fontId="4" fillId="4" borderId="49" xfId="0" applyNumberFormat="1" applyFont="1" applyFill="1" applyBorder="1" applyAlignment="1">
      <alignment vertical="top" wrapText="1"/>
    </xf>
    <xf numFmtId="2" fontId="4" fillId="4" borderId="36" xfId="0" applyNumberFormat="1" applyFont="1" applyFill="1" applyBorder="1" applyAlignment="1">
      <alignment vertical="top" wrapText="1"/>
    </xf>
    <xf numFmtId="2" fontId="4" fillId="4" borderId="39" xfId="0" applyNumberFormat="1" applyFont="1" applyFill="1" applyBorder="1" applyAlignment="1">
      <alignment vertical="top" wrapText="1"/>
    </xf>
    <xf numFmtId="0" fontId="4" fillId="4" borderId="49" xfId="0" applyNumberFormat="1" applyFont="1" applyFill="1" applyBorder="1" applyAlignment="1">
      <alignment vertical="top" wrapText="1"/>
    </xf>
    <xf numFmtId="9" fontId="4" fillId="4" borderId="35" xfId="1" applyFont="1" applyFill="1" applyBorder="1" applyAlignment="1">
      <alignment vertical="top" wrapText="1"/>
    </xf>
    <xf numFmtId="9" fontId="4" fillId="4" borderId="38" xfId="1" applyFont="1" applyFill="1" applyBorder="1" applyAlignment="1">
      <alignment vertical="top" wrapText="1"/>
    </xf>
    <xf numFmtId="1" fontId="0" fillId="4" borderId="36" xfId="0" applyNumberFormat="1" applyFont="1" applyFill="1" applyBorder="1" applyAlignment="1">
      <alignment vertical="top" wrapText="1"/>
    </xf>
    <xf numFmtId="1" fontId="0" fillId="4" borderId="46" xfId="0" applyNumberFormat="1" applyFont="1" applyFill="1" applyBorder="1" applyAlignment="1">
      <alignment vertical="top" wrapText="1"/>
    </xf>
    <xf numFmtId="2" fontId="0" fillId="4" borderId="49" xfId="0" applyNumberFormat="1" applyFont="1" applyFill="1" applyBorder="1" applyAlignment="1">
      <alignment vertical="top" wrapText="1"/>
    </xf>
    <xf numFmtId="2" fontId="0" fillId="4" borderId="36" xfId="0" applyNumberFormat="1" applyFont="1" applyFill="1" applyBorder="1" applyAlignment="1">
      <alignment vertical="top" wrapText="1"/>
    </xf>
    <xf numFmtId="2" fontId="0" fillId="4" borderId="39" xfId="0" applyNumberFormat="1" applyFont="1" applyFill="1" applyBorder="1" applyAlignment="1">
      <alignment vertical="top" wrapText="1"/>
    </xf>
    <xf numFmtId="0" fontId="0" fillId="4" borderId="49" xfId="0" applyNumberFormat="1" applyFont="1" applyFill="1" applyBorder="1" applyAlignment="1">
      <alignment vertical="top" wrapText="1"/>
    </xf>
    <xf numFmtId="9" fontId="0" fillId="4" borderId="36" xfId="1" applyFont="1" applyFill="1" applyBorder="1" applyAlignment="1">
      <alignment vertical="top" wrapText="1"/>
    </xf>
    <xf numFmtId="9" fontId="0" fillId="4" borderId="39" xfId="1" applyFont="1" applyFill="1" applyBorder="1" applyAlignment="1">
      <alignment vertical="top" wrapText="1"/>
    </xf>
    <xf numFmtId="1" fontId="0" fillId="5" borderId="36" xfId="0" applyNumberFormat="1" applyFont="1" applyFill="1" applyBorder="1" applyAlignment="1">
      <alignment vertical="top" wrapText="1"/>
    </xf>
    <xf numFmtId="1" fontId="0" fillId="5" borderId="46" xfId="0" applyNumberFormat="1" applyFont="1" applyFill="1" applyBorder="1" applyAlignment="1">
      <alignment vertical="top" wrapText="1"/>
    </xf>
    <xf numFmtId="2" fontId="0" fillId="5" borderId="49" xfId="0" applyNumberFormat="1" applyFont="1" applyFill="1" applyBorder="1" applyAlignment="1">
      <alignment vertical="top" wrapText="1"/>
    </xf>
    <xf numFmtId="2" fontId="0" fillId="5" borderId="36" xfId="0" applyNumberFormat="1" applyFont="1" applyFill="1" applyBorder="1" applyAlignment="1">
      <alignment vertical="top" wrapText="1"/>
    </xf>
    <xf numFmtId="2" fontId="0" fillId="5" borderId="39" xfId="0" applyNumberFormat="1" applyFont="1" applyFill="1" applyBorder="1" applyAlignment="1">
      <alignment vertical="top" wrapText="1"/>
    </xf>
    <xf numFmtId="0" fontId="0" fillId="5" borderId="49" xfId="0" applyNumberFormat="1" applyFont="1" applyFill="1" applyBorder="1" applyAlignment="1">
      <alignment vertical="top" wrapText="1"/>
    </xf>
    <xf numFmtId="9" fontId="0" fillId="5" borderId="35" xfId="1" applyFont="1" applyFill="1" applyBorder="1" applyAlignment="1">
      <alignment vertical="top" wrapText="1"/>
    </xf>
    <xf numFmtId="9" fontId="0" fillId="5" borderId="36" xfId="1" applyFont="1" applyFill="1" applyBorder="1" applyAlignment="1">
      <alignment vertical="top" wrapText="1"/>
    </xf>
    <xf numFmtId="9" fontId="0" fillId="5" borderId="39" xfId="1" applyFont="1" applyFill="1" applyBorder="1" applyAlignment="1">
      <alignment vertical="top" wrapText="1"/>
    </xf>
    <xf numFmtId="9" fontId="0" fillId="2" borderId="36" xfId="1" applyFont="1" applyFill="1" applyBorder="1" applyAlignment="1">
      <alignment vertical="top" wrapText="1"/>
    </xf>
    <xf numFmtId="1" fontId="0" fillId="2" borderId="36" xfId="0" applyNumberFormat="1" applyFont="1" applyFill="1" applyBorder="1" applyAlignment="1">
      <alignment vertical="top" wrapText="1"/>
    </xf>
    <xf numFmtId="1" fontId="0" fillId="2" borderId="46" xfId="0" applyNumberFormat="1" applyFont="1" applyFill="1" applyBorder="1" applyAlignment="1">
      <alignment vertical="top" wrapText="1"/>
    </xf>
    <xf numFmtId="2" fontId="0" fillId="2" borderId="49" xfId="0" applyNumberFormat="1" applyFont="1" applyFill="1" applyBorder="1" applyAlignment="1">
      <alignment vertical="top" wrapText="1"/>
    </xf>
    <xf numFmtId="2" fontId="0" fillId="2" borderId="36" xfId="0" applyNumberFormat="1" applyFont="1" applyFill="1" applyBorder="1" applyAlignment="1">
      <alignment vertical="top" wrapText="1"/>
    </xf>
    <xf numFmtId="2" fontId="0" fillId="2" borderId="39" xfId="0" applyNumberFormat="1" applyFont="1" applyFill="1" applyBorder="1" applyAlignment="1">
      <alignment vertical="top" wrapText="1"/>
    </xf>
    <xf numFmtId="0" fontId="0" fillId="2" borderId="49" xfId="0" applyNumberFormat="1" applyFont="1" applyFill="1" applyBorder="1" applyAlignment="1">
      <alignment vertical="top" wrapText="1"/>
    </xf>
    <xf numFmtId="9" fontId="0" fillId="2" borderId="39" xfId="1" applyFont="1" applyFill="1" applyBorder="1" applyAlignment="1">
      <alignment vertical="top" wrapText="1"/>
    </xf>
    <xf numFmtId="0" fontId="0" fillId="0" borderId="26" xfId="0" applyFont="1" applyBorder="1" applyAlignment="1">
      <alignment horizontal="center" vertical="top" wrapText="1"/>
    </xf>
    <xf numFmtId="0" fontId="0" fillId="0" borderId="28" xfId="0" applyFont="1" applyBorder="1" applyAlignment="1">
      <alignment horizontal="center" vertical="top" wrapText="1"/>
    </xf>
    <xf numFmtId="0" fontId="0" fillId="0" borderId="27" xfId="0" applyFont="1" applyBorder="1" applyAlignment="1">
      <alignment horizontal="center" vertical="top" wrapText="1"/>
    </xf>
    <xf numFmtId="1" fontId="0" fillId="6" borderId="37" xfId="0" applyNumberFormat="1" applyFont="1" applyFill="1" applyBorder="1" applyAlignment="1">
      <alignment vertical="top" wrapText="1"/>
    </xf>
    <xf numFmtId="0" fontId="0" fillId="6" borderId="37" xfId="0" applyNumberFormat="1" applyFont="1" applyFill="1" applyBorder="1" applyAlignment="1">
      <alignment vertical="top" wrapText="1"/>
    </xf>
    <xf numFmtId="164" fontId="0" fillId="6" borderId="40" xfId="0" applyNumberFormat="1" applyFont="1" applyFill="1" applyBorder="1" applyAlignment="1">
      <alignment vertical="top" wrapText="1"/>
    </xf>
    <xf numFmtId="1" fontId="0" fillId="6" borderId="36" xfId="0" applyNumberFormat="1" applyFont="1" applyFill="1" applyBorder="1" applyAlignment="1">
      <alignment vertical="top" wrapText="1"/>
    </xf>
    <xf numFmtId="0" fontId="0" fillId="6" borderId="36" xfId="0" applyNumberFormat="1" applyFont="1" applyFill="1" applyBorder="1" applyAlignment="1">
      <alignment vertical="top" wrapText="1"/>
    </xf>
    <xf numFmtId="0" fontId="0" fillId="6" borderId="39" xfId="0" applyNumberFormat="1" applyFont="1" applyFill="1" applyBorder="1" applyAlignment="1">
      <alignment vertical="top" wrapText="1"/>
    </xf>
    <xf numFmtId="0" fontId="0" fillId="0" borderId="15" xfId="0" applyFont="1" applyBorder="1" applyAlignment="1">
      <alignment horizontal="center" vertical="top" wrapText="1"/>
    </xf>
    <xf numFmtId="0" fontId="0" fillId="0" borderId="16" xfId="0" applyFont="1" applyBorder="1" applyAlignment="1">
      <alignment horizontal="center" vertical="top" wrapText="1"/>
    </xf>
    <xf numFmtId="0" fontId="0" fillId="0" borderId="17" xfId="0" applyFont="1" applyBorder="1" applyAlignment="1">
      <alignment horizontal="center" vertical="top" wrapText="1"/>
    </xf>
    <xf numFmtId="0" fontId="0" fillId="0" borderId="41" xfId="0" applyFont="1" applyBorder="1" applyAlignment="1">
      <alignment horizontal="center" vertical="top" wrapText="1"/>
    </xf>
    <xf numFmtId="0" fontId="0" fillId="0" borderId="0" xfId="0" applyFont="1" applyBorder="1" applyAlignment="1">
      <alignment horizontal="center" vertical="top" wrapText="1"/>
    </xf>
    <xf numFmtId="0" fontId="0" fillId="0" borderId="51" xfId="0" applyFont="1" applyBorder="1" applyAlignment="1">
      <alignment horizontal="center" vertical="top" wrapText="1"/>
    </xf>
    <xf numFmtId="0" fontId="0" fillId="0" borderId="41" xfId="0" applyFont="1" applyBorder="1" applyAlignment="1">
      <alignment vertical="top" wrapText="1"/>
    </xf>
    <xf numFmtId="0" fontId="0" fillId="0" borderId="0" xfId="0" applyFont="1" applyBorder="1" applyAlignment="1">
      <alignment vertical="top" wrapText="1"/>
    </xf>
    <xf numFmtId="0" fontId="0" fillId="0" borderId="51" xfId="0" applyFont="1" applyBorder="1" applyAlignment="1">
      <alignment vertical="top" wrapText="1"/>
    </xf>
    <xf numFmtId="0" fontId="0" fillId="0" borderId="52" xfId="0" applyFont="1" applyBorder="1" applyAlignment="1">
      <alignment horizontal="center" vertical="top" wrapText="1"/>
    </xf>
    <xf numFmtId="0" fontId="0" fillId="0" borderId="53" xfId="0" applyFont="1" applyBorder="1" applyAlignment="1">
      <alignment horizontal="center" vertical="top" wrapText="1"/>
    </xf>
    <xf numFmtId="0" fontId="0" fillId="0" borderId="54" xfId="0" applyFont="1" applyBorder="1" applyAlignment="1">
      <alignment horizontal="center" vertical="top" wrapText="1"/>
    </xf>
    <xf numFmtId="0" fontId="3" fillId="3" borderId="15" xfId="0" applyFont="1" applyFill="1" applyBorder="1" applyAlignment="1">
      <alignment horizontal="center" vertical="top" wrapText="1"/>
    </xf>
    <xf numFmtId="0" fontId="3" fillId="3" borderId="16" xfId="0" applyFont="1" applyFill="1" applyBorder="1" applyAlignment="1">
      <alignment horizontal="center" vertical="top" wrapText="1"/>
    </xf>
    <xf numFmtId="0" fontId="3" fillId="3" borderId="17" xfId="0" applyFont="1" applyFill="1" applyBorder="1" applyAlignment="1">
      <alignment horizontal="center" vertical="top" wrapText="1"/>
    </xf>
    <xf numFmtId="0" fontId="3" fillId="0" borderId="14" xfId="0" applyFont="1" applyBorder="1" applyAlignment="1">
      <alignment horizontal="center" vertical="top" wrapText="1"/>
    </xf>
    <xf numFmtId="1" fontId="0" fillId="6" borderId="33" xfId="0" applyNumberFormat="1" applyFont="1" applyFill="1" applyBorder="1" applyAlignment="1">
      <alignment horizontal="right" vertical="top" wrapText="1"/>
    </xf>
    <xf numFmtId="0" fontId="0" fillId="6" borderId="30" xfId="0" applyNumberFormat="1" applyFont="1" applyFill="1" applyBorder="1" applyAlignment="1">
      <alignment horizontal="right" vertical="top" wrapText="1"/>
    </xf>
    <xf numFmtId="1" fontId="0" fillId="6" borderId="34" xfId="0" applyNumberFormat="1" applyFont="1" applyFill="1" applyBorder="1" applyAlignment="1">
      <alignment horizontal="right" vertical="top" wrapText="1"/>
    </xf>
    <xf numFmtId="164" fontId="0" fillId="6" borderId="31" xfId="0" applyNumberFormat="1" applyFont="1" applyFill="1" applyBorder="1" applyAlignment="1">
      <alignment horizontal="right" vertical="top" wrapText="1"/>
    </xf>
    <xf numFmtId="1" fontId="0" fillId="7" borderId="33" xfId="0" applyNumberFormat="1" applyFont="1" applyFill="1" applyBorder="1" applyAlignment="1">
      <alignment horizontal="right" vertical="top" wrapText="1"/>
    </xf>
    <xf numFmtId="0" fontId="0" fillId="7" borderId="30" xfId="0" applyNumberFormat="1" applyFont="1" applyFill="1" applyBorder="1" applyAlignment="1">
      <alignment horizontal="right" vertical="top" wrapText="1"/>
    </xf>
    <xf numFmtId="164" fontId="0" fillId="7" borderId="30" xfId="0" applyNumberFormat="1" applyFont="1" applyFill="1" applyBorder="1" applyAlignment="1">
      <alignment horizontal="right" vertical="top" wrapText="1"/>
    </xf>
    <xf numFmtId="1" fontId="0" fillId="7" borderId="36" xfId="0" applyNumberFormat="1" applyFont="1" applyFill="1" applyBorder="1" applyAlignment="1">
      <alignment vertical="top" wrapText="1"/>
    </xf>
    <xf numFmtId="0" fontId="0" fillId="7" borderId="36" xfId="0" applyNumberFormat="1" applyFont="1" applyFill="1" applyBorder="1" applyAlignment="1">
      <alignment vertical="top" wrapText="1"/>
    </xf>
    <xf numFmtId="0" fontId="0" fillId="7" borderId="39" xfId="0" applyNumberFormat="1" applyFont="1" applyFill="1" applyBorder="1" applyAlignment="1">
      <alignment vertical="top" wrapText="1"/>
    </xf>
    <xf numFmtId="164" fontId="0" fillId="7" borderId="39" xfId="0" applyNumberFormat="1" applyFont="1" applyFill="1" applyBorder="1" applyAlignment="1">
      <alignment vertical="top" wrapText="1"/>
    </xf>
    <xf numFmtId="0" fontId="0" fillId="3" borderId="15" xfId="0" applyFont="1" applyFill="1" applyBorder="1" applyAlignment="1">
      <alignment horizontal="center" vertical="top" wrapText="1"/>
    </xf>
    <xf numFmtId="0" fontId="0" fillId="3" borderId="16" xfId="0" applyFont="1" applyFill="1" applyBorder="1" applyAlignment="1">
      <alignment horizontal="center" vertical="top" wrapText="1"/>
    </xf>
    <xf numFmtId="0" fontId="0" fillId="3" borderId="17" xfId="0" applyFont="1" applyFill="1" applyBorder="1" applyAlignment="1">
      <alignment horizontal="center" vertical="top" wrapText="1"/>
    </xf>
    <xf numFmtId="9" fontId="0" fillId="4" borderId="35" xfId="1" applyFont="1" applyFill="1" applyBorder="1" applyAlignment="1">
      <alignment vertical="top" wrapText="1"/>
    </xf>
    <xf numFmtId="1" fontId="0" fillId="6" borderId="47" xfId="0" applyNumberFormat="1" applyFont="1" applyFill="1" applyBorder="1" applyAlignment="1">
      <alignment vertical="top" wrapText="1"/>
    </xf>
    <xf numFmtId="2" fontId="0" fillId="6" borderId="50" xfId="0" applyNumberFormat="1" applyFont="1" applyFill="1" applyBorder="1" applyAlignment="1">
      <alignment vertical="top" wrapText="1"/>
    </xf>
    <xf numFmtId="2" fontId="0" fillId="6" borderId="37" xfId="0" applyNumberFormat="1" applyFont="1" applyFill="1" applyBorder="1" applyAlignment="1">
      <alignment vertical="top" wrapText="1"/>
    </xf>
    <xf numFmtId="2" fontId="0" fillId="6" borderId="40" xfId="0" applyNumberFormat="1" applyFont="1" applyFill="1" applyBorder="1" applyAlignment="1">
      <alignment vertical="top" wrapText="1"/>
    </xf>
    <xf numFmtId="9" fontId="0" fillId="6" borderId="55" xfId="1" applyFont="1" applyFill="1" applyBorder="1" applyAlignment="1">
      <alignment vertical="top" wrapText="1"/>
    </xf>
    <xf numFmtId="0" fontId="0" fillId="6" borderId="50" xfId="0" applyNumberFormat="1" applyFont="1" applyFill="1" applyBorder="1" applyAlignment="1">
      <alignment vertical="top" wrapText="1"/>
    </xf>
    <xf numFmtId="9" fontId="0" fillId="6" borderId="37" xfId="1" applyFont="1" applyFill="1" applyBorder="1" applyAlignment="1">
      <alignment vertical="top" wrapText="1"/>
    </xf>
    <xf numFmtId="9" fontId="0" fillId="6" borderId="40" xfId="1" applyFont="1" applyFill="1" applyBorder="1" applyAlignment="1">
      <alignment vertical="top" wrapText="1"/>
    </xf>
    <xf numFmtId="1" fontId="0" fillId="6" borderId="46" xfId="0" applyNumberFormat="1" applyFont="1" applyFill="1" applyBorder="1" applyAlignment="1">
      <alignment vertical="top" wrapText="1"/>
    </xf>
    <xf numFmtId="2" fontId="0" fillId="6" borderId="49" xfId="0" applyNumberFormat="1" applyFont="1" applyFill="1" applyBorder="1" applyAlignment="1">
      <alignment vertical="top" wrapText="1"/>
    </xf>
    <xf numFmtId="2" fontId="0" fillId="6" borderId="36" xfId="0" applyNumberFormat="1" applyFont="1" applyFill="1" applyBorder="1" applyAlignment="1">
      <alignment vertical="top" wrapText="1"/>
    </xf>
    <xf numFmtId="2" fontId="0" fillId="6" borderId="39" xfId="0" applyNumberFormat="1" applyFont="1" applyFill="1" applyBorder="1" applyAlignment="1">
      <alignment vertical="top" wrapText="1"/>
    </xf>
    <xf numFmtId="9" fontId="0" fillId="6" borderId="35" xfId="1" applyFont="1" applyFill="1" applyBorder="1" applyAlignment="1">
      <alignment vertical="top" wrapText="1"/>
    </xf>
    <xf numFmtId="49" fontId="0" fillId="6" borderId="49" xfId="0" applyNumberFormat="1" applyFont="1" applyFill="1" applyBorder="1" applyAlignment="1">
      <alignment vertical="top" wrapText="1"/>
    </xf>
    <xf numFmtId="9" fontId="0" fillId="6" borderId="36" xfId="1" applyFont="1" applyFill="1" applyBorder="1" applyAlignment="1">
      <alignment vertical="top" wrapText="1"/>
    </xf>
    <xf numFmtId="9" fontId="0" fillId="6" borderId="39" xfId="1" applyFont="1" applyFill="1" applyBorder="1" applyAlignment="1">
      <alignment vertical="top" wrapText="1"/>
    </xf>
    <xf numFmtId="0" fontId="0" fillId="6" borderId="49" xfId="0" applyNumberFormat="1" applyFont="1" applyFill="1" applyBorder="1" applyAlignment="1">
      <alignment vertical="top" wrapText="1"/>
    </xf>
  </cellXfs>
  <cellStyles count="2">
    <cellStyle name="Normal" xfId="0" builtinId="0"/>
    <cellStyle name="Percent" xfId="1" builtinId="5"/>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U229"/>
  <sheetViews>
    <sheetView showGridLines="0" workbookViewId="0">
      <pane xSplit="1" ySplit="2" topLeftCell="B213" activePane="bottomRight" state="frozen"/>
      <selection pane="topRight"/>
      <selection pane="bottomLeft"/>
      <selection pane="bottomRight" activeCell="B150" sqref="B150:E229"/>
    </sheetView>
  </sheetViews>
  <sheetFormatPr defaultColWidth="16.33203125" defaultRowHeight="19.95" customHeight="1"/>
  <cols>
    <col min="1" max="4" width="16.33203125" style="1" customWidth="1"/>
    <col min="5" max="7" width="16.33203125" style="28" customWidth="1"/>
    <col min="8" max="255" width="16.33203125" style="1" customWidth="1"/>
  </cols>
  <sheetData>
    <row r="1" spans="1:12" ht="27.6" customHeight="1" thickBot="1">
      <c r="A1" s="17"/>
      <c r="B1" s="17"/>
      <c r="C1" s="17"/>
      <c r="D1" s="17"/>
      <c r="E1" s="17"/>
      <c r="F1" s="17"/>
      <c r="G1" s="17"/>
      <c r="H1" s="17"/>
      <c r="I1" s="17"/>
    </row>
    <row r="2" spans="1:12" ht="20.25" customHeight="1">
      <c r="A2" s="6" t="s">
        <v>5</v>
      </c>
      <c r="B2" s="7" t="s">
        <v>7</v>
      </c>
      <c r="C2" s="7" t="s">
        <v>6</v>
      </c>
      <c r="D2" s="7" t="s">
        <v>8</v>
      </c>
      <c r="E2" s="26" t="s">
        <v>9</v>
      </c>
      <c r="F2" s="26" t="s">
        <v>10</v>
      </c>
      <c r="G2" s="26" t="s">
        <v>11</v>
      </c>
      <c r="H2" s="7" t="s">
        <v>12</v>
      </c>
      <c r="I2" s="7" t="s">
        <v>13</v>
      </c>
      <c r="J2" s="8" t="s">
        <v>14</v>
      </c>
      <c r="K2" s="8" t="s">
        <v>15</v>
      </c>
      <c r="L2" s="9" t="s">
        <v>16</v>
      </c>
    </row>
    <row r="3" spans="1:12" ht="20.25" customHeight="1">
      <c r="A3" s="10">
        <v>15221664</v>
      </c>
      <c r="B3" s="3">
        <v>1269750</v>
      </c>
      <c r="C3" s="3">
        <v>10232</v>
      </c>
      <c r="D3" s="3">
        <v>5</v>
      </c>
      <c r="E3" s="5">
        <v>50.735999999999997</v>
      </c>
      <c r="F3" s="5">
        <v>1277301</v>
      </c>
      <c r="G3" s="5">
        <v>7597</v>
      </c>
      <c r="H3" s="2">
        <v>0.59476980000000002</v>
      </c>
      <c r="I3" s="2">
        <v>3.9721260000000001E-2</v>
      </c>
      <c r="J3" s="2">
        <f t="shared" ref="J3:J5" si="0">E3/59.7228*100</f>
        <v>84.952480459723915</v>
      </c>
      <c r="K3" s="3">
        <f>F3/1365722*100</f>
        <v>93.525695566154752</v>
      </c>
      <c r="L3" s="11">
        <f>G3/8476*100</f>
        <v>89.6295422369042</v>
      </c>
    </row>
    <row r="4" spans="1:12" ht="20.100000000000001" customHeight="1">
      <c r="A4" s="10">
        <v>15221664</v>
      </c>
      <c r="B4" s="3">
        <v>1269750</v>
      </c>
      <c r="C4" s="3">
        <v>10232</v>
      </c>
      <c r="D4" s="3">
        <v>1</v>
      </c>
      <c r="E4" s="5">
        <v>1.47</v>
      </c>
      <c r="F4" s="5">
        <v>13253</v>
      </c>
      <c r="G4" s="5">
        <v>219</v>
      </c>
      <c r="H4" s="2">
        <v>1.6524559999999999</v>
      </c>
      <c r="I4" s="2">
        <v>0.11091827999999999</v>
      </c>
      <c r="J4" s="2">
        <f t="shared" si="0"/>
        <v>2.4613715364986235</v>
      </c>
      <c r="K4" s="3">
        <f t="shared" ref="K4:K5" si="1">F4/1365722*100</f>
        <v>0.97040246843793976</v>
      </c>
      <c r="L4" s="11">
        <f t="shared" ref="L4:L5" si="2">G4/8476*100</f>
        <v>2.5837659273242095</v>
      </c>
    </row>
    <row r="5" spans="1:12" ht="20.100000000000001" customHeight="1">
      <c r="A5" s="10">
        <v>15221664</v>
      </c>
      <c r="B5" s="3">
        <v>1643084</v>
      </c>
      <c r="C5" s="3">
        <v>10235</v>
      </c>
      <c r="D5" s="3">
        <v>1</v>
      </c>
      <c r="E5" s="5">
        <v>7.5167999999999999</v>
      </c>
      <c r="F5" s="5">
        <v>75168</v>
      </c>
      <c r="G5" s="5">
        <v>660</v>
      </c>
      <c r="H5" s="2">
        <v>0.87803319999999996</v>
      </c>
      <c r="I5" s="2">
        <v>0.1</v>
      </c>
      <c r="J5" s="2">
        <f t="shared" si="0"/>
        <v>12.586148003777453</v>
      </c>
      <c r="K5" s="3">
        <f t="shared" si="1"/>
        <v>5.5039019654073078</v>
      </c>
      <c r="L5" s="11">
        <f t="shared" si="2"/>
        <v>7.7866918357715909</v>
      </c>
    </row>
    <row r="6" spans="1:12" ht="20.100000000000001" customHeight="1">
      <c r="A6" s="10">
        <v>19383848</v>
      </c>
      <c r="B6" s="3">
        <v>1269750</v>
      </c>
      <c r="C6" s="3">
        <v>10202</v>
      </c>
      <c r="D6" s="3">
        <v>5</v>
      </c>
      <c r="E6" s="5">
        <v>0.50700000000000001</v>
      </c>
      <c r="F6" s="5">
        <v>0</v>
      </c>
      <c r="G6" s="5">
        <v>0</v>
      </c>
      <c r="H6" s="4" t="s">
        <v>0</v>
      </c>
      <c r="I6" s="4" t="s">
        <v>1</v>
      </c>
      <c r="J6" s="2">
        <v>100</v>
      </c>
      <c r="K6" s="2">
        <v>100</v>
      </c>
      <c r="L6" s="12">
        <v>100</v>
      </c>
    </row>
    <row r="7" spans="1:12" ht="20.100000000000001" customHeight="1">
      <c r="A7" s="10">
        <v>19729577</v>
      </c>
      <c r="B7" s="3">
        <v>1269750</v>
      </c>
      <c r="C7" s="3">
        <v>10169</v>
      </c>
      <c r="D7" s="3">
        <v>7</v>
      </c>
      <c r="E7" s="5">
        <v>5.41</v>
      </c>
      <c r="F7" s="5">
        <v>183</v>
      </c>
      <c r="G7" s="5">
        <v>4</v>
      </c>
      <c r="H7" s="2">
        <v>2.1857923000000001</v>
      </c>
      <c r="I7" s="2">
        <v>29.56284153</v>
      </c>
      <c r="J7" s="2">
        <f>E7/73.85*100</f>
        <v>7.325660121868653</v>
      </c>
      <c r="K7" s="3">
        <f>F7/208096*100</f>
        <v>8.7940181454713218E-2</v>
      </c>
      <c r="L7" s="11">
        <f>G7/6318*100</f>
        <v>6.3311174422285538E-2</v>
      </c>
    </row>
    <row r="8" spans="1:12" ht="20.100000000000001" customHeight="1">
      <c r="A8" s="10">
        <v>19729577</v>
      </c>
      <c r="B8" s="3">
        <v>1269750</v>
      </c>
      <c r="C8" s="3">
        <v>10224</v>
      </c>
      <c r="D8" s="3">
        <v>2</v>
      </c>
      <c r="E8" s="5">
        <v>64.48</v>
      </c>
      <c r="F8" s="5">
        <v>198089</v>
      </c>
      <c r="G8" s="5">
        <v>5769</v>
      </c>
      <c r="H8" s="2">
        <v>2.9123272999999998</v>
      </c>
      <c r="I8" s="2">
        <v>0.32551025</v>
      </c>
      <c r="J8" s="2">
        <f t="shared" ref="J8:J9" si="3">E8/73.85*100</f>
        <v>87.312119160460398</v>
      </c>
      <c r="K8" s="3">
        <f t="shared" ref="K8:K9" si="4">F8/208096*100</f>
        <v>95.191161771490087</v>
      </c>
      <c r="L8" s="11">
        <f t="shared" ref="L8:L9" si="5">G8/6318*100</f>
        <v>91.310541310541311</v>
      </c>
    </row>
    <row r="9" spans="1:12" ht="20.100000000000001" customHeight="1">
      <c r="A9" s="10">
        <v>19729577</v>
      </c>
      <c r="B9" s="3">
        <v>1269750</v>
      </c>
      <c r="C9" s="3">
        <v>10236</v>
      </c>
      <c r="D9" s="3">
        <v>3</v>
      </c>
      <c r="E9" s="5">
        <v>3.96</v>
      </c>
      <c r="F9" s="5">
        <v>9824</v>
      </c>
      <c r="G9" s="5">
        <v>545</v>
      </c>
      <c r="H9" s="2">
        <v>5.5476384000000003</v>
      </c>
      <c r="I9" s="2">
        <v>0.40309445999999999</v>
      </c>
      <c r="J9" s="2">
        <f t="shared" si="3"/>
        <v>5.3622207176709544</v>
      </c>
      <c r="K9" s="3">
        <f t="shared" si="4"/>
        <v>4.7208980470552051</v>
      </c>
      <c r="L9" s="11">
        <f t="shared" si="5"/>
        <v>8.6261475150364042</v>
      </c>
    </row>
    <row r="10" spans="1:12" ht="20.100000000000001" customHeight="1">
      <c r="A10" s="10">
        <v>32359233</v>
      </c>
      <c r="B10" s="3">
        <v>1269750</v>
      </c>
      <c r="C10" s="3">
        <v>10168</v>
      </c>
      <c r="D10" s="3">
        <v>16</v>
      </c>
      <c r="E10" s="5">
        <v>8.1199999999999992</v>
      </c>
      <c r="F10" s="5">
        <v>201</v>
      </c>
      <c r="G10" s="5">
        <v>4</v>
      </c>
      <c r="H10" s="2">
        <v>1.9900498</v>
      </c>
      <c r="I10" s="2">
        <v>40.398009950000002</v>
      </c>
      <c r="J10" s="2">
        <f>E10/2785.426*100</f>
        <v>0.29151734779527438</v>
      </c>
      <c r="K10" s="3">
        <f>F10/23224335*100</f>
        <v>8.6547149789218932E-4</v>
      </c>
      <c r="L10" s="12">
        <f>G10/212025*100</f>
        <v>1.8865699799551939E-3</v>
      </c>
    </row>
    <row r="11" spans="1:12" ht="20.100000000000001" customHeight="1">
      <c r="A11" s="10">
        <v>32359233</v>
      </c>
      <c r="B11" s="3">
        <v>1269750</v>
      </c>
      <c r="C11" s="3">
        <v>10169</v>
      </c>
      <c r="D11" s="3">
        <v>4</v>
      </c>
      <c r="E11" s="5">
        <v>86.56</v>
      </c>
      <c r="F11" s="5">
        <v>15752</v>
      </c>
      <c r="G11" s="5">
        <v>197</v>
      </c>
      <c r="H11" s="2">
        <v>1.2506348</v>
      </c>
      <c r="I11" s="2">
        <v>5.4951752200000001</v>
      </c>
      <c r="J11" s="2">
        <f t="shared" ref="J11:J36" si="6">E11/2785.426*100</f>
        <v>3.1076036484185905</v>
      </c>
      <c r="K11" s="3">
        <f t="shared" ref="K11:K36" si="7">F11/23224335*100</f>
        <v>6.7825408133322232E-2</v>
      </c>
      <c r="L11" s="12">
        <f t="shared" ref="L11:L36" si="8">G11/212025*100</f>
        <v>9.2913571512793294E-2</v>
      </c>
    </row>
    <row r="12" spans="1:12" ht="20.100000000000001" customHeight="1">
      <c r="A12" s="10">
        <v>32359233</v>
      </c>
      <c r="B12" s="3">
        <v>1269750</v>
      </c>
      <c r="C12" s="3">
        <v>10169</v>
      </c>
      <c r="D12" s="3">
        <v>14</v>
      </c>
      <c r="E12" s="5">
        <v>10.82</v>
      </c>
      <c r="F12" s="5">
        <v>1073</v>
      </c>
      <c r="G12" s="5">
        <v>14</v>
      </c>
      <c r="H12" s="2">
        <v>1.3047530000000001</v>
      </c>
      <c r="I12" s="2">
        <v>10.083876979999999</v>
      </c>
      <c r="J12" s="2">
        <f t="shared" si="6"/>
        <v>0.38845045605232381</v>
      </c>
      <c r="K12" s="3">
        <f t="shared" si="7"/>
        <v>4.6201538171060652E-3</v>
      </c>
      <c r="L12" s="12">
        <f t="shared" si="8"/>
        <v>6.6029949298431791E-3</v>
      </c>
    </row>
    <row r="13" spans="1:12" ht="20.100000000000001" customHeight="1">
      <c r="A13" s="10">
        <v>32359233</v>
      </c>
      <c r="B13" s="3">
        <v>1269750</v>
      </c>
      <c r="C13" s="3">
        <v>10170</v>
      </c>
      <c r="D13" s="3">
        <v>13</v>
      </c>
      <c r="E13" s="5">
        <v>309.06</v>
      </c>
      <c r="F13" s="5">
        <v>1721311</v>
      </c>
      <c r="G13" s="5">
        <v>15441</v>
      </c>
      <c r="H13" s="2">
        <v>0.89704879999999998</v>
      </c>
      <c r="I13" s="2">
        <v>0.17954919</v>
      </c>
      <c r="J13" s="2">
        <f t="shared" si="6"/>
        <v>11.095609791823586</v>
      </c>
      <c r="K13" s="3">
        <f t="shared" si="7"/>
        <v>7.4116696990462803</v>
      </c>
      <c r="L13" s="12">
        <f t="shared" si="8"/>
        <v>7.2826317651220371</v>
      </c>
    </row>
    <row r="14" spans="1:12" ht="20.100000000000001" customHeight="1">
      <c r="A14" s="10">
        <v>32359233</v>
      </c>
      <c r="B14" s="3">
        <v>1269750</v>
      </c>
      <c r="C14" s="3">
        <v>10170</v>
      </c>
      <c r="D14" s="3">
        <v>4</v>
      </c>
      <c r="E14" s="5">
        <v>103.02</v>
      </c>
      <c r="F14" s="5">
        <v>491498</v>
      </c>
      <c r="G14" s="5">
        <v>3254</v>
      </c>
      <c r="H14" s="2">
        <v>0.66205760000000002</v>
      </c>
      <c r="I14" s="2">
        <v>0.20960411000000001</v>
      </c>
      <c r="J14" s="2">
        <f t="shared" si="6"/>
        <v>3.6985365972745279</v>
      </c>
      <c r="K14" s="3">
        <f t="shared" si="7"/>
        <v>2.1163060212488323</v>
      </c>
      <c r="L14" s="12">
        <f t="shared" si="8"/>
        <v>1.5347246786935502</v>
      </c>
    </row>
    <row r="15" spans="1:12" ht="20.100000000000001" customHeight="1">
      <c r="A15" s="10">
        <v>32359233</v>
      </c>
      <c r="B15" s="3">
        <v>1269750</v>
      </c>
      <c r="C15" s="3">
        <v>10171</v>
      </c>
      <c r="D15" s="3">
        <v>13</v>
      </c>
      <c r="E15" s="5">
        <v>230.52</v>
      </c>
      <c r="F15" s="5">
        <v>946348</v>
      </c>
      <c r="G15" s="5">
        <v>9220</v>
      </c>
      <c r="H15" s="2">
        <v>0.97427160000000002</v>
      </c>
      <c r="I15" s="2">
        <v>0.24358904000000001</v>
      </c>
      <c r="J15" s="2">
        <f t="shared" si="6"/>
        <v>8.275933376079637</v>
      </c>
      <c r="K15" s="3">
        <f t="shared" si="7"/>
        <v>4.0748120452103365</v>
      </c>
      <c r="L15" s="12">
        <f t="shared" si="8"/>
        <v>4.3485438037967219</v>
      </c>
    </row>
    <row r="16" spans="1:12" ht="20.100000000000001" customHeight="1">
      <c r="A16" s="10">
        <v>32359233</v>
      </c>
      <c r="B16" s="3">
        <v>1269750</v>
      </c>
      <c r="C16" s="3">
        <v>10171</v>
      </c>
      <c r="D16" s="3">
        <v>4</v>
      </c>
      <c r="E16" s="5">
        <v>146.88</v>
      </c>
      <c r="F16" s="5">
        <v>575652</v>
      </c>
      <c r="G16" s="5">
        <v>4959</v>
      </c>
      <c r="H16" s="2">
        <v>0.86145799999999995</v>
      </c>
      <c r="I16" s="2">
        <v>0.25515416000000002</v>
      </c>
      <c r="J16" s="2">
        <f t="shared" si="6"/>
        <v>5.2731610891834855</v>
      </c>
      <c r="K16" s="3">
        <f t="shared" si="7"/>
        <v>2.478658700023058</v>
      </c>
      <c r="L16" s="12">
        <f t="shared" si="8"/>
        <v>2.3388751326494517</v>
      </c>
    </row>
    <row r="17" spans="1:12" ht="20.100000000000001" customHeight="1">
      <c r="A17" s="10">
        <v>32359233</v>
      </c>
      <c r="B17" s="3">
        <v>1269750</v>
      </c>
      <c r="C17" s="3">
        <v>10172</v>
      </c>
      <c r="D17" s="3">
        <v>13</v>
      </c>
      <c r="E17" s="5">
        <v>339.36</v>
      </c>
      <c r="F17" s="5">
        <v>2723808</v>
      </c>
      <c r="G17" s="5">
        <v>25957</v>
      </c>
      <c r="H17" s="2">
        <v>0.95296729999999996</v>
      </c>
      <c r="I17" s="2">
        <v>0.12459028</v>
      </c>
      <c r="J17" s="2">
        <f t="shared" si="6"/>
        <v>12.183414673374918</v>
      </c>
      <c r="K17" s="3">
        <f t="shared" si="7"/>
        <v>11.72824970015288</v>
      </c>
      <c r="L17" s="12">
        <f t="shared" si="8"/>
        <v>12.242424242424242</v>
      </c>
    </row>
    <row r="18" spans="1:12" ht="20.100000000000001" customHeight="1">
      <c r="A18" s="10">
        <v>32359233</v>
      </c>
      <c r="B18" s="3">
        <v>1269750</v>
      </c>
      <c r="C18" s="3">
        <v>10172</v>
      </c>
      <c r="D18" s="3">
        <v>18</v>
      </c>
      <c r="E18" s="5">
        <v>115.14</v>
      </c>
      <c r="F18" s="5">
        <v>568850</v>
      </c>
      <c r="G18" s="5">
        <v>3900</v>
      </c>
      <c r="H18" s="2">
        <v>0.68559369999999997</v>
      </c>
      <c r="I18" s="2">
        <v>0.20240837</v>
      </c>
      <c r="J18" s="2">
        <f t="shared" si="6"/>
        <v>4.1336585498950615</v>
      </c>
      <c r="K18" s="3">
        <f t="shared" si="7"/>
        <v>2.4493704556018505</v>
      </c>
      <c r="L18" s="12">
        <f t="shared" si="8"/>
        <v>1.8394057304563141</v>
      </c>
    </row>
    <row r="19" spans="1:12" ht="20.100000000000001" customHeight="1">
      <c r="A19" s="10">
        <v>32359233</v>
      </c>
      <c r="B19" s="3">
        <v>1269750</v>
      </c>
      <c r="C19" s="3">
        <v>10173</v>
      </c>
      <c r="D19" s="3">
        <v>13</v>
      </c>
      <c r="E19" s="5">
        <v>218.16</v>
      </c>
      <c r="F19" s="5">
        <v>1073033</v>
      </c>
      <c r="G19" s="5">
        <v>9579</v>
      </c>
      <c r="H19" s="2">
        <v>0.89270320000000003</v>
      </c>
      <c r="I19" s="2">
        <v>0.20331155000000001</v>
      </c>
      <c r="J19" s="2">
        <f t="shared" si="6"/>
        <v>7.832195147169589</v>
      </c>
      <c r="K19" s="3">
        <f t="shared" si="7"/>
        <v>4.6202959094415412</v>
      </c>
      <c r="L19" s="12">
        <f t="shared" si="8"/>
        <v>4.5178634594977005</v>
      </c>
    </row>
    <row r="20" spans="1:12" ht="20.100000000000001" customHeight="1">
      <c r="A20" s="10">
        <v>32359233</v>
      </c>
      <c r="B20" s="3">
        <v>1269750</v>
      </c>
      <c r="C20" s="3">
        <v>10173</v>
      </c>
      <c r="D20" s="3">
        <v>4</v>
      </c>
      <c r="E20" s="5">
        <v>58.58</v>
      </c>
      <c r="F20" s="5">
        <v>151466</v>
      </c>
      <c r="G20" s="5">
        <v>1022</v>
      </c>
      <c r="H20" s="2">
        <v>0.67473890000000003</v>
      </c>
      <c r="I20" s="2">
        <v>0.38675345999999999</v>
      </c>
      <c r="J20" s="2">
        <f t="shared" si="6"/>
        <v>2.1030894376659082</v>
      </c>
      <c r="K20" s="3">
        <f t="shared" si="7"/>
        <v>0.65218659651611122</v>
      </c>
      <c r="L20" s="12">
        <f t="shared" si="8"/>
        <v>0.48201862987855204</v>
      </c>
    </row>
    <row r="21" spans="1:12" ht="20.100000000000001" customHeight="1">
      <c r="A21" s="10">
        <v>32359233</v>
      </c>
      <c r="B21" s="3">
        <v>1269750</v>
      </c>
      <c r="C21" s="3">
        <v>10174</v>
      </c>
      <c r="D21" s="3">
        <v>13</v>
      </c>
      <c r="E21" s="5">
        <v>71.099999999999994</v>
      </c>
      <c r="F21" s="5">
        <v>14346</v>
      </c>
      <c r="G21" s="5">
        <v>147</v>
      </c>
      <c r="H21" s="2">
        <v>1.0246759000000001</v>
      </c>
      <c r="I21" s="2">
        <v>4.9560853199999997</v>
      </c>
      <c r="J21" s="2">
        <f t="shared" si="6"/>
        <v>2.5525718507689668</v>
      </c>
      <c r="K21" s="3">
        <f t="shared" si="7"/>
        <v>6.1771413476424619E-2</v>
      </c>
      <c r="L21" s="12">
        <f t="shared" si="8"/>
        <v>6.9331446763353372E-2</v>
      </c>
    </row>
    <row r="22" spans="1:12" ht="20.100000000000001" customHeight="1">
      <c r="A22" s="10">
        <v>32359233</v>
      </c>
      <c r="B22" s="3">
        <v>1269750</v>
      </c>
      <c r="C22" s="3">
        <v>10174</v>
      </c>
      <c r="D22" s="3">
        <v>4</v>
      </c>
      <c r="E22" s="5">
        <v>47.4</v>
      </c>
      <c r="F22" s="5">
        <v>10656</v>
      </c>
      <c r="G22" s="5">
        <v>124</v>
      </c>
      <c r="H22" s="2">
        <v>1.1636637000000001</v>
      </c>
      <c r="I22" s="2">
        <v>4.4481982000000002</v>
      </c>
      <c r="J22" s="2">
        <f t="shared" si="6"/>
        <v>1.7017145671793112</v>
      </c>
      <c r="K22" s="3">
        <f t="shared" si="7"/>
        <v>4.5882906873329202E-2</v>
      </c>
      <c r="L22" s="12">
        <f t="shared" si="8"/>
        <v>5.8483669378611006E-2</v>
      </c>
    </row>
    <row r="23" spans="1:12" ht="20.100000000000001" customHeight="1">
      <c r="A23" s="10">
        <v>32359233</v>
      </c>
      <c r="B23" s="3">
        <v>1269750</v>
      </c>
      <c r="C23" s="3">
        <v>10176</v>
      </c>
      <c r="D23" s="3">
        <v>16</v>
      </c>
      <c r="E23" s="5">
        <v>515.57000000000005</v>
      </c>
      <c r="F23" s="5">
        <v>874563</v>
      </c>
      <c r="G23" s="5">
        <v>9379</v>
      </c>
      <c r="H23" s="2">
        <v>1.0724213</v>
      </c>
      <c r="I23" s="2">
        <v>0.58951728000000003</v>
      </c>
      <c r="J23" s="2">
        <f t="shared" si="6"/>
        <v>18.50955652743961</v>
      </c>
      <c r="K23" s="3">
        <f t="shared" si="7"/>
        <v>3.7657181572690885</v>
      </c>
      <c r="L23" s="12">
        <f t="shared" si="8"/>
        <v>4.423534960499941</v>
      </c>
    </row>
    <row r="24" spans="1:12" ht="20.100000000000001" customHeight="1">
      <c r="A24" s="10">
        <v>32359233</v>
      </c>
      <c r="B24" s="3">
        <v>1269750</v>
      </c>
      <c r="C24" s="3">
        <v>10178</v>
      </c>
      <c r="D24" s="3">
        <v>1</v>
      </c>
      <c r="E24" s="5">
        <v>4.04</v>
      </c>
      <c r="F24" s="5">
        <v>534</v>
      </c>
      <c r="G24" s="5">
        <v>9</v>
      </c>
      <c r="H24" s="2">
        <v>1.6853933000000001</v>
      </c>
      <c r="I24" s="2">
        <v>7.5655430700000004</v>
      </c>
      <c r="J24" s="2">
        <f t="shared" si="6"/>
        <v>0.14504065087351092</v>
      </c>
      <c r="K24" s="3">
        <f t="shared" si="7"/>
        <v>2.2993123376837269E-3</v>
      </c>
      <c r="L24" s="12">
        <f t="shared" si="8"/>
        <v>4.2447824548991868E-3</v>
      </c>
    </row>
    <row r="25" spans="1:12" ht="20.100000000000001" customHeight="1">
      <c r="A25" s="10">
        <v>32359233</v>
      </c>
      <c r="B25" s="3">
        <v>1269750</v>
      </c>
      <c r="C25" s="3">
        <v>10178</v>
      </c>
      <c r="D25" s="3">
        <v>5</v>
      </c>
      <c r="E25" s="5">
        <v>4.04</v>
      </c>
      <c r="F25" s="5">
        <v>575</v>
      </c>
      <c r="G25" s="5">
        <v>7</v>
      </c>
      <c r="H25" s="2">
        <v>1.2173913000000001</v>
      </c>
      <c r="I25" s="2">
        <v>7.0260869599999998</v>
      </c>
      <c r="J25" s="2">
        <f t="shared" si="6"/>
        <v>0.14504065087351092</v>
      </c>
      <c r="K25" s="3">
        <f t="shared" si="7"/>
        <v>2.4758512999403428E-3</v>
      </c>
      <c r="L25" s="12">
        <f t="shared" si="8"/>
        <v>3.3014974649215895E-3</v>
      </c>
    </row>
    <row r="26" spans="1:12" ht="20.100000000000001" customHeight="1">
      <c r="A26" s="10">
        <v>32359233</v>
      </c>
      <c r="B26" s="3">
        <v>1269750</v>
      </c>
      <c r="C26" s="3">
        <v>10187</v>
      </c>
      <c r="D26" s="3">
        <v>6</v>
      </c>
      <c r="E26" s="5">
        <v>44.44</v>
      </c>
      <c r="F26" s="5">
        <v>92555</v>
      </c>
      <c r="G26" s="5">
        <v>1037</v>
      </c>
      <c r="H26" s="2">
        <v>1.1204149000000001</v>
      </c>
      <c r="I26" s="2">
        <v>0.48014694000000002</v>
      </c>
      <c r="J26" s="2">
        <f t="shared" si="6"/>
        <v>1.5954471596086199</v>
      </c>
      <c r="K26" s="3">
        <f t="shared" si="7"/>
        <v>0.39852594272344072</v>
      </c>
      <c r="L26" s="12">
        <f t="shared" si="8"/>
        <v>0.48909326730338404</v>
      </c>
    </row>
    <row r="27" spans="1:12" ht="20.100000000000001" customHeight="1">
      <c r="A27" s="10">
        <v>32359233</v>
      </c>
      <c r="B27" s="3">
        <v>1269750</v>
      </c>
      <c r="C27" s="3">
        <v>10188</v>
      </c>
      <c r="D27" s="3">
        <v>11</v>
      </c>
      <c r="E27" s="5">
        <v>80.8</v>
      </c>
      <c r="F27" s="5">
        <v>127209</v>
      </c>
      <c r="G27" s="5">
        <v>1130</v>
      </c>
      <c r="H27" s="2">
        <v>0.88830189999999998</v>
      </c>
      <c r="I27" s="2">
        <v>0.63517517999999995</v>
      </c>
      <c r="J27" s="2">
        <f t="shared" si="6"/>
        <v>2.9008130174702185</v>
      </c>
      <c r="K27" s="3">
        <f t="shared" si="7"/>
        <v>0.54774011828541058</v>
      </c>
      <c r="L27" s="12">
        <f t="shared" si="8"/>
        <v>0.53295601933734227</v>
      </c>
    </row>
    <row r="28" spans="1:12" ht="20.100000000000001" customHeight="1">
      <c r="A28" s="10">
        <v>32359233</v>
      </c>
      <c r="B28" s="3">
        <v>1269750</v>
      </c>
      <c r="C28" s="3">
        <v>10188</v>
      </c>
      <c r="D28" s="3">
        <v>10</v>
      </c>
      <c r="E28" s="5">
        <v>48.48</v>
      </c>
      <c r="F28" s="5">
        <v>75190</v>
      </c>
      <c r="G28" s="5">
        <v>565</v>
      </c>
      <c r="H28" s="2">
        <v>0.75142969999999998</v>
      </c>
      <c r="I28" s="2">
        <v>0.64476659000000003</v>
      </c>
      <c r="J28" s="2">
        <f t="shared" si="6"/>
        <v>1.7404878104821311</v>
      </c>
      <c r="K28" s="3">
        <f t="shared" si="7"/>
        <v>0.32375523346524238</v>
      </c>
      <c r="L28" s="12">
        <f t="shared" si="8"/>
        <v>0.26647800966867113</v>
      </c>
    </row>
    <row r="29" spans="1:12" ht="20.100000000000001" customHeight="1">
      <c r="A29" s="10">
        <v>32359233</v>
      </c>
      <c r="B29" s="3">
        <v>1269750</v>
      </c>
      <c r="C29" s="3">
        <v>10210</v>
      </c>
      <c r="D29" s="3">
        <v>3</v>
      </c>
      <c r="E29" s="5">
        <v>2.5999999999999999E-2</v>
      </c>
      <c r="F29" s="5">
        <v>0</v>
      </c>
      <c r="G29" s="5">
        <v>0</v>
      </c>
      <c r="H29" s="4" t="s">
        <v>0</v>
      </c>
      <c r="I29" s="4" t="s">
        <v>1</v>
      </c>
      <c r="J29" s="2">
        <f t="shared" si="6"/>
        <v>9.3342993136417908E-4</v>
      </c>
      <c r="K29" s="3">
        <f t="shared" si="7"/>
        <v>0</v>
      </c>
      <c r="L29" s="12">
        <f t="shared" si="8"/>
        <v>0</v>
      </c>
    </row>
    <row r="30" spans="1:12" ht="20.100000000000001" customHeight="1">
      <c r="A30" s="10">
        <v>32359233</v>
      </c>
      <c r="B30" s="3">
        <v>1269750</v>
      </c>
      <c r="C30" s="3">
        <v>10210</v>
      </c>
      <c r="D30" s="3">
        <v>4</v>
      </c>
      <c r="E30" s="5">
        <v>2.5999999999999999E-2</v>
      </c>
      <c r="F30" s="5">
        <v>0</v>
      </c>
      <c r="G30" s="5">
        <v>0</v>
      </c>
      <c r="H30" s="4" t="s">
        <v>0</v>
      </c>
      <c r="I30" s="4" t="s">
        <v>1</v>
      </c>
      <c r="J30" s="2">
        <f t="shared" si="6"/>
        <v>9.3342993136417908E-4</v>
      </c>
      <c r="K30" s="3">
        <f t="shared" si="7"/>
        <v>0</v>
      </c>
      <c r="L30" s="12">
        <f t="shared" si="8"/>
        <v>0</v>
      </c>
    </row>
    <row r="31" spans="1:12" ht="20.100000000000001" customHeight="1">
      <c r="A31" s="10">
        <v>32359233</v>
      </c>
      <c r="B31" s="3">
        <v>1269750</v>
      </c>
      <c r="C31" s="3">
        <v>10224</v>
      </c>
      <c r="D31" s="3">
        <v>1</v>
      </c>
      <c r="E31" s="5">
        <v>66.489999999999995</v>
      </c>
      <c r="F31" s="5">
        <v>2170851</v>
      </c>
      <c r="G31" s="5">
        <v>16072</v>
      </c>
      <c r="H31" s="2">
        <v>0.74035479999999998</v>
      </c>
      <c r="I31" s="2">
        <v>3.0628539999999999E-2</v>
      </c>
      <c r="J31" s="2">
        <f t="shared" si="6"/>
        <v>2.3870675437078566</v>
      </c>
      <c r="K31" s="3">
        <f t="shared" si="7"/>
        <v>9.3473117744813781</v>
      </c>
      <c r="L31" s="12">
        <f t="shared" si="8"/>
        <v>7.5802381794599691</v>
      </c>
    </row>
    <row r="32" spans="1:12" ht="20.100000000000001" customHeight="1">
      <c r="A32" s="10">
        <v>32359233</v>
      </c>
      <c r="B32" s="3">
        <v>1269750</v>
      </c>
      <c r="C32" s="3">
        <v>10227</v>
      </c>
      <c r="D32" s="3">
        <v>2</v>
      </c>
      <c r="E32" s="5">
        <v>9.8000000000000004E-2</v>
      </c>
      <c r="F32" s="5">
        <v>0</v>
      </c>
      <c r="G32" s="5">
        <v>0</v>
      </c>
      <c r="H32" s="4" t="s">
        <v>0</v>
      </c>
      <c r="I32" s="4" t="s">
        <v>1</v>
      </c>
      <c r="J32" s="2">
        <f t="shared" si="6"/>
        <v>3.5183128182188291E-3</v>
      </c>
      <c r="K32" s="3">
        <f t="shared" si="7"/>
        <v>0</v>
      </c>
      <c r="L32" s="12">
        <f t="shared" si="8"/>
        <v>0</v>
      </c>
    </row>
    <row r="33" spans="1:12" ht="20.100000000000001" customHeight="1">
      <c r="A33" s="10">
        <v>32359233</v>
      </c>
      <c r="B33" s="3">
        <v>1269750</v>
      </c>
      <c r="C33" s="3">
        <v>10232</v>
      </c>
      <c r="D33" s="3">
        <v>1</v>
      </c>
      <c r="E33" s="5">
        <v>127.736</v>
      </c>
      <c r="F33" s="5">
        <v>2931199</v>
      </c>
      <c r="G33" s="5">
        <v>20182</v>
      </c>
      <c r="H33" s="2">
        <v>0.68852369999999996</v>
      </c>
      <c r="I33" s="2">
        <v>4.3578069999999997E-2</v>
      </c>
      <c r="J33" s="2">
        <f t="shared" si="6"/>
        <v>4.5858694504897999</v>
      </c>
      <c r="K33" s="3">
        <f t="shared" si="7"/>
        <v>12.621239747015361</v>
      </c>
      <c r="L33" s="12">
        <f t="shared" si="8"/>
        <v>9.5186888338639299</v>
      </c>
    </row>
    <row r="34" spans="1:12" ht="20.100000000000001" customHeight="1">
      <c r="A34" s="10">
        <v>32359233</v>
      </c>
      <c r="B34" s="3">
        <v>1269750</v>
      </c>
      <c r="C34" s="3">
        <v>10234</v>
      </c>
      <c r="D34" s="3">
        <v>3</v>
      </c>
      <c r="E34" s="5">
        <v>147.9</v>
      </c>
      <c r="F34" s="5">
        <v>8592696</v>
      </c>
      <c r="G34" s="5">
        <v>89374</v>
      </c>
      <c r="H34" s="2">
        <v>1.0401159</v>
      </c>
      <c r="I34" s="2">
        <v>1.7212290000000002E-2</v>
      </c>
      <c r="J34" s="2">
        <f t="shared" si="6"/>
        <v>5.3097802634139271</v>
      </c>
      <c r="K34" s="3">
        <f t="shared" si="7"/>
        <v>36.998674020160323</v>
      </c>
      <c r="L34" s="12">
        <f t="shared" si="8"/>
        <v>42.152576347128878</v>
      </c>
    </row>
    <row r="35" spans="1:12" ht="20.100000000000001" customHeight="1">
      <c r="A35" s="10">
        <v>32359233</v>
      </c>
      <c r="B35" s="3">
        <v>1269750</v>
      </c>
      <c r="C35" s="3">
        <v>10234</v>
      </c>
      <c r="D35" s="3">
        <v>1</v>
      </c>
      <c r="E35" s="5">
        <v>0.34</v>
      </c>
      <c r="F35" s="5">
        <v>0</v>
      </c>
      <c r="G35" s="5">
        <v>0</v>
      </c>
      <c r="H35" s="4" t="s">
        <v>0</v>
      </c>
      <c r="I35" s="4" t="s">
        <v>1</v>
      </c>
      <c r="J35" s="2">
        <f t="shared" si="6"/>
        <v>1.2206391410146959E-2</v>
      </c>
      <c r="K35" s="3">
        <f t="shared" si="7"/>
        <v>0</v>
      </c>
      <c r="L35" s="12">
        <f t="shared" si="8"/>
        <v>0</v>
      </c>
    </row>
    <row r="36" spans="1:12" ht="20.100000000000001" customHeight="1">
      <c r="A36" s="10">
        <v>32359233</v>
      </c>
      <c r="B36" s="3">
        <v>1269750</v>
      </c>
      <c r="C36" s="3">
        <v>10236</v>
      </c>
      <c r="D36" s="3">
        <v>3</v>
      </c>
      <c r="E36" s="5">
        <v>0.72</v>
      </c>
      <c r="F36" s="5">
        <v>64969</v>
      </c>
      <c r="G36" s="5">
        <v>452</v>
      </c>
      <c r="H36" s="2">
        <v>0.69571640000000001</v>
      </c>
      <c r="I36" s="2">
        <v>1.108221E-2</v>
      </c>
      <c r="J36" s="2">
        <f t="shared" si="6"/>
        <v>2.5848828868546499E-2</v>
      </c>
      <c r="K36" s="3">
        <f t="shared" si="7"/>
        <v>0.2797453619231724</v>
      </c>
      <c r="L36" s="12">
        <f t="shared" si="8"/>
        <v>0.21318240773493691</v>
      </c>
    </row>
    <row r="37" spans="1:12" ht="20.100000000000001" customHeight="1">
      <c r="A37" s="10">
        <v>36011719</v>
      </c>
      <c r="B37" s="3">
        <v>1269750</v>
      </c>
      <c r="C37" s="3">
        <v>10224</v>
      </c>
      <c r="D37" s="3">
        <v>2</v>
      </c>
      <c r="E37" s="5">
        <v>11.16</v>
      </c>
      <c r="F37" s="5">
        <v>7901</v>
      </c>
      <c r="G37" s="5">
        <v>246</v>
      </c>
      <c r="H37" s="2">
        <v>3.1135299000000001</v>
      </c>
      <c r="I37" s="2">
        <v>1.4124794300000001</v>
      </c>
      <c r="J37" s="2">
        <f>E37/11.52*100</f>
        <v>96.875</v>
      </c>
      <c r="K37" s="2">
        <f>F37/8159*100</f>
        <v>96.837847775462677</v>
      </c>
      <c r="L37" s="12">
        <f>G37/263*100</f>
        <v>93.536121673003805</v>
      </c>
    </row>
    <row r="38" spans="1:12" ht="20.100000000000001" customHeight="1">
      <c r="A38" s="10">
        <v>36011719</v>
      </c>
      <c r="B38" s="3">
        <v>1269750</v>
      </c>
      <c r="C38" s="3">
        <v>10236</v>
      </c>
      <c r="D38" s="3">
        <v>3</v>
      </c>
      <c r="E38" s="5">
        <v>0.36</v>
      </c>
      <c r="F38" s="5">
        <v>258</v>
      </c>
      <c r="G38" s="5">
        <v>17</v>
      </c>
      <c r="H38" s="2">
        <v>6.5891472999999996</v>
      </c>
      <c r="I38" s="2">
        <v>1.39534884</v>
      </c>
      <c r="J38" s="2">
        <f>E38/11.52*100</f>
        <v>3.125</v>
      </c>
      <c r="K38" s="2">
        <f>F38/8159*100</f>
        <v>3.1621522245373206</v>
      </c>
      <c r="L38" s="12">
        <f>G38/263*100</f>
        <v>6.4638783269961975</v>
      </c>
    </row>
    <row r="39" spans="1:12" ht="20.100000000000001" customHeight="1">
      <c r="A39" s="10">
        <v>42017814</v>
      </c>
      <c r="B39" s="3">
        <v>1269750</v>
      </c>
      <c r="C39" s="3">
        <v>10167</v>
      </c>
      <c r="D39" s="3">
        <v>2</v>
      </c>
      <c r="E39" s="5">
        <v>1.75</v>
      </c>
      <c r="F39" s="5">
        <v>3393</v>
      </c>
      <c r="G39" s="5">
        <v>4</v>
      </c>
      <c r="H39" s="2">
        <v>0.1178898</v>
      </c>
      <c r="I39" s="2">
        <v>0.51576776000000002</v>
      </c>
      <c r="J39" s="2">
        <f>E39/71.62*100</f>
        <v>2.4434515498464116</v>
      </c>
      <c r="K39" s="2">
        <f>F39/16683*100</f>
        <v>20.338068692681173</v>
      </c>
      <c r="L39" s="12">
        <f>G39/85*100</f>
        <v>4.7058823529411766</v>
      </c>
    </row>
    <row r="40" spans="1:12" ht="20.100000000000001" customHeight="1">
      <c r="A40" s="10">
        <v>42017814</v>
      </c>
      <c r="B40" s="3">
        <v>1269750</v>
      </c>
      <c r="C40" s="3">
        <v>10170</v>
      </c>
      <c r="D40" s="3">
        <v>18</v>
      </c>
      <c r="E40" s="5">
        <v>6.06</v>
      </c>
      <c r="F40" s="5">
        <v>294</v>
      </c>
      <c r="G40" s="5">
        <v>3</v>
      </c>
      <c r="H40" s="2">
        <v>1.0204082000000001</v>
      </c>
      <c r="I40" s="2">
        <v>20.6122449</v>
      </c>
      <c r="J40" s="2">
        <f t="shared" ref="J40:J50" si="9">E40/71.62*100</f>
        <v>8.4613236526110018</v>
      </c>
      <c r="K40" s="2">
        <f t="shared" ref="K40:K50" si="10">F40/16683*100</f>
        <v>1.7622729724869626</v>
      </c>
      <c r="L40" s="12">
        <f t="shared" ref="L40:L50" si="11">G40/85*100</f>
        <v>3.5294117647058822</v>
      </c>
    </row>
    <row r="41" spans="1:12" ht="20.100000000000001" customHeight="1">
      <c r="A41" s="10">
        <v>42017814</v>
      </c>
      <c r="B41" s="3">
        <v>1269750</v>
      </c>
      <c r="C41" s="3">
        <v>10170</v>
      </c>
      <c r="D41" s="3">
        <v>3</v>
      </c>
      <c r="E41" s="5">
        <v>2.02</v>
      </c>
      <c r="F41" s="5">
        <v>36</v>
      </c>
      <c r="G41" s="5">
        <v>2</v>
      </c>
      <c r="H41" s="2">
        <v>5.5555555999999999</v>
      </c>
      <c r="I41" s="2">
        <v>56.111111110000003</v>
      </c>
      <c r="J41" s="2">
        <f t="shared" si="9"/>
        <v>2.8204412175370006</v>
      </c>
      <c r="K41" s="2">
        <f t="shared" si="10"/>
        <v>0.21578852724330158</v>
      </c>
      <c r="L41" s="12">
        <f t="shared" si="11"/>
        <v>2.3529411764705883</v>
      </c>
    </row>
    <row r="42" spans="1:12" ht="20.100000000000001" customHeight="1">
      <c r="A42" s="10">
        <v>42017814</v>
      </c>
      <c r="B42" s="3">
        <v>1269750</v>
      </c>
      <c r="C42" s="3">
        <v>10171</v>
      </c>
      <c r="D42" s="3">
        <v>12</v>
      </c>
      <c r="E42" s="5">
        <v>6.06</v>
      </c>
      <c r="F42" s="5">
        <v>82</v>
      </c>
      <c r="G42" s="5">
        <v>1</v>
      </c>
      <c r="H42" s="2">
        <v>1.2195122</v>
      </c>
      <c r="I42" s="2">
        <v>73.902439020000003</v>
      </c>
      <c r="J42" s="2">
        <f t="shared" si="9"/>
        <v>8.4613236526110018</v>
      </c>
      <c r="K42" s="2">
        <f t="shared" si="10"/>
        <v>0.49151831205418689</v>
      </c>
      <c r="L42" s="12">
        <f t="shared" si="11"/>
        <v>1.1764705882352942</v>
      </c>
    </row>
    <row r="43" spans="1:12" ht="20.100000000000001" customHeight="1">
      <c r="A43" s="10">
        <v>42017814</v>
      </c>
      <c r="B43" s="3">
        <v>1269750</v>
      </c>
      <c r="C43" s="3">
        <v>10171</v>
      </c>
      <c r="D43" s="3">
        <v>3</v>
      </c>
      <c r="E43" s="5">
        <v>2.02</v>
      </c>
      <c r="F43" s="5">
        <v>37</v>
      </c>
      <c r="G43" s="5">
        <v>1</v>
      </c>
      <c r="H43" s="2">
        <v>2.7027027000000001</v>
      </c>
      <c r="I43" s="2">
        <v>54.59459459</v>
      </c>
      <c r="J43" s="2">
        <f t="shared" si="9"/>
        <v>2.8204412175370006</v>
      </c>
      <c r="K43" s="2">
        <f t="shared" si="10"/>
        <v>0.22178265300005995</v>
      </c>
      <c r="L43" s="12">
        <f t="shared" si="11"/>
        <v>1.1764705882352942</v>
      </c>
    </row>
    <row r="44" spans="1:12" ht="20.100000000000001" customHeight="1">
      <c r="A44" s="10">
        <v>42017814</v>
      </c>
      <c r="B44" s="3">
        <v>1269750</v>
      </c>
      <c r="C44" s="3">
        <v>10172</v>
      </c>
      <c r="D44" s="3">
        <v>12</v>
      </c>
      <c r="E44" s="5">
        <v>16.16</v>
      </c>
      <c r="F44" s="5">
        <v>1087</v>
      </c>
      <c r="G44" s="5">
        <v>15</v>
      </c>
      <c r="H44" s="2">
        <v>1.3799448000000001</v>
      </c>
      <c r="I44" s="2">
        <v>14.86660534</v>
      </c>
      <c r="J44" s="2">
        <f t="shared" si="9"/>
        <v>22.563529740296005</v>
      </c>
      <c r="K44" s="2">
        <f t="shared" si="10"/>
        <v>6.515614697596356</v>
      </c>
      <c r="L44" s="12">
        <f t="shared" si="11"/>
        <v>17.647058823529413</v>
      </c>
    </row>
    <row r="45" spans="1:12" ht="20.100000000000001" customHeight="1">
      <c r="A45" s="10">
        <v>42017814</v>
      </c>
      <c r="B45" s="3">
        <v>1269750</v>
      </c>
      <c r="C45" s="3">
        <v>10172</v>
      </c>
      <c r="D45" s="3">
        <v>3</v>
      </c>
      <c r="E45" s="5">
        <v>4.04</v>
      </c>
      <c r="F45" s="5">
        <v>154</v>
      </c>
      <c r="G45" s="5">
        <v>1</v>
      </c>
      <c r="H45" s="2">
        <v>0.6493506</v>
      </c>
      <c r="I45" s="2">
        <v>26.233766230000001</v>
      </c>
      <c r="J45" s="2">
        <f t="shared" si="9"/>
        <v>5.6408824350740012</v>
      </c>
      <c r="K45" s="2">
        <f t="shared" si="10"/>
        <v>0.92309536654079005</v>
      </c>
      <c r="L45" s="12">
        <f t="shared" si="11"/>
        <v>1.1764705882352942</v>
      </c>
    </row>
    <row r="46" spans="1:12" ht="20.100000000000001" customHeight="1">
      <c r="A46" s="10">
        <v>42017814</v>
      </c>
      <c r="B46" s="3">
        <v>1269750</v>
      </c>
      <c r="C46" s="3">
        <v>10173</v>
      </c>
      <c r="D46" s="3">
        <v>12</v>
      </c>
      <c r="E46" s="5">
        <v>10.1</v>
      </c>
      <c r="F46" s="5">
        <v>979</v>
      </c>
      <c r="G46" s="5">
        <v>12</v>
      </c>
      <c r="H46" s="2">
        <v>1.2257406</v>
      </c>
      <c r="I46" s="2">
        <v>10.31664964</v>
      </c>
      <c r="J46" s="2">
        <f t="shared" si="9"/>
        <v>14.102206087685005</v>
      </c>
      <c r="K46" s="2">
        <f t="shared" si="10"/>
        <v>5.8682491158664511</v>
      </c>
      <c r="L46" s="12">
        <f t="shared" si="11"/>
        <v>14.117647058823529</v>
      </c>
    </row>
    <row r="47" spans="1:12" ht="20.100000000000001" customHeight="1">
      <c r="A47" s="10">
        <v>42017814</v>
      </c>
      <c r="B47" s="3">
        <v>1269750</v>
      </c>
      <c r="C47" s="3">
        <v>10176</v>
      </c>
      <c r="D47" s="3">
        <v>15</v>
      </c>
      <c r="E47" s="5">
        <v>14.19</v>
      </c>
      <c r="F47" s="5">
        <v>230</v>
      </c>
      <c r="G47" s="5">
        <v>1</v>
      </c>
      <c r="H47" s="2">
        <v>0.43478260000000002</v>
      </c>
      <c r="I47" s="2">
        <v>61.695652170000002</v>
      </c>
      <c r="J47" s="2">
        <f t="shared" si="9"/>
        <v>19.812901424183188</v>
      </c>
      <c r="K47" s="2">
        <f t="shared" si="10"/>
        <v>1.3786489240544266</v>
      </c>
      <c r="L47" s="12">
        <f t="shared" si="11"/>
        <v>1.1764705882352942</v>
      </c>
    </row>
    <row r="48" spans="1:12" ht="20.100000000000001" customHeight="1">
      <c r="A48" s="10">
        <v>42017814</v>
      </c>
      <c r="B48" s="3">
        <v>1269750</v>
      </c>
      <c r="C48" s="3">
        <v>10187</v>
      </c>
      <c r="D48" s="3">
        <v>5</v>
      </c>
      <c r="E48" s="5">
        <v>2.02</v>
      </c>
      <c r="F48" s="5">
        <v>45</v>
      </c>
      <c r="G48" s="5">
        <v>2</v>
      </c>
      <c r="H48" s="2">
        <v>4.4444444000000001</v>
      </c>
      <c r="I48" s="2">
        <v>44.888888889999997</v>
      </c>
      <c r="J48" s="2">
        <f t="shared" si="9"/>
        <v>2.8204412175370006</v>
      </c>
      <c r="K48" s="2">
        <f t="shared" si="10"/>
        <v>0.26973565905412694</v>
      </c>
      <c r="L48" s="12">
        <f t="shared" si="11"/>
        <v>2.3529411764705883</v>
      </c>
    </row>
    <row r="49" spans="1:12" ht="20.100000000000001" customHeight="1">
      <c r="A49" s="10">
        <v>42017814</v>
      </c>
      <c r="B49" s="3">
        <v>1269750</v>
      </c>
      <c r="C49" s="3">
        <v>10224</v>
      </c>
      <c r="D49" s="3">
        <v>3</v>
      </c>
      <c r="E49" s="5">
        <v>2.44</v>
      </c>
      <c r="F49" s="5">
        <v>654</v>
      </c>
      <c r="G49" s="5">
        <v>4</v>
      </c>
      <c r="H49" s="2">
        <v>0.61162079999999996</v>
      </c>
      <c r="I49" s="2">
        <v>3.7308868500000001</v>
      </c>
      <c r="J49" s="2">
        <f t="shared" si="9"/>
        <v>3.4068695895001397</v>
      </c>
      <c r="K49" s="2">
        <f t="shared" si="10"/>
        <v>3.9201582449199788</v>
      </c>
      <c r="L49" s="12">
        <f t="shared" si="11"/>
        <v>4.7058823529411766</v>
      </c>
    </row>
    <row r="50" spans="1:12" ht="20.100000000000001" customHeight="1">
      <c r="A50" s="10">
        <v>42017814</v>
      </c>
      <c r="B50" s="3">
        <v>1269750</v>
      </c>
      <c r="C50" s="3">
        <v>10234</v>
      </c>
      <c r="D50" s="3">
        <v>2</v>
      </c>
      <c r="E50" s="5">
        <v>4.76</v>
      </c>
      <c r="F50" s="5">
        <v>9692</v>
      </c>
      <c r="G50" s="5">
        <v>39</v>
      </c>
      <c r="H50" s="2">
        <v>0.40239370000000002</v>
      </c>
      <c r="I50" s="2">
        <v>0.49112670000000003</v>
      </c>
      <c r="J50" s="2">
        <f t="shared" si="9"/>
        <v>6.6461882155822387</v>
      </c>
      <c r="K50" s="2">
        <f t="shared" si="10"/>
        <v>58.095066834502184</v>
      </c>
      <c r="L50" s="12">
        <f t="shared" si="11"/>
        <v>45.882352941176471</v>
      </c>
    </row>
    <row r="51" spans="1:12" ht="20.100000000000001" customHeight="1">
      <c r="A51" s="10">
        <v>43346372</v>
      </c>
      <c r="B51" s="3">
        <v>1269750</v>
      </c>
      <c r="C51" s="3">
        <v>10168</v>
      </c>
      <c r="D51" s="3">
        <v>7</v>
      </c>
      <c r="E51" s="5">
        <v>8.1199999999999992</v>
      </c>
      <c r="F51" s="5">
        <v>92</v>
      </c>
      <c r="G51" s="5">
        <v>8</v>
      </c>
      <c r="H51" s="2">
        <v>8.6956521999999996</v>
      </c>
      <c r="I51" s="2">
        <v>88.260869569999997</v>
      </c>
      <c r="J51" s="2">
        <f>E51/496.27*100</f>
        <v>1.6362060974872548</v>
      </c>
      <c r="K51" s="2">
        <f>F50/1213991*100</f>
        <v>0.79835847217977729</v>
      </c>
      <c r="L51" s="12">
        <f>G51/2282136*100</f>
        <v>3.5054878412154228E-4</v>
      </c>
    </row>
    <row r="52" spans="1:12" ht="20.100000000000001" customHeight="1">
      <c r="A52" s="10">
        <v>43346372</v>
      </c>
      <c r="B52" s="3">
        <v>1269750</v>
      </c>
      <c r="C52" s="3">
        <v>10176</v>
      </c>
      <c r="D52" s="3">
        <v>2</v>
      </c>
      <c r="E52" s="5">
        <v>4.7300000000000004</v>
      </c>
      <c r="F52" s="5">
        <v>119</v>
      </c>
      <c r="G52" s="5">
        <v>191</v>
      </c>
      <c r="H52" s="2">
        <v>5.9663865999999999</v>
      </c>
      <c r="I52" s="2">
        <v>39.747899160000003</v>
      </c>
      <c r="J52" s="2">
        <f t="shared" ref="J52:J58" si="12">E52/496.27*100</f>
        <v>0.95311020210772368</v>
      </c>
      <c r="K52" s="2">
        <f t="shared" ref="K52:K58" si="13">F51/1213991*100</f>
        <v>7.5783098886235559E-3</v>
      </c>
      <c r="L52" s="12">
        <f t="shared" ref="L52:L57" si="14">G52/2282136*100</f>
        <v>8.3693522209018212E-3</v>
      </c>
    </row>
    <row r="53" spans="1:12" ht="20.100000000000001" customHeight="1">
      <c r="A53" s="10">
        <v>43346372</v>
      </c>
      <c r="B53" s="3">
        <v>1269750</v>
      </c>
      <c r="C53" s="3">
        <v>10187</v>
      </c>
      <c r="D53" s="3">
        <v>4</v>
      </c>
      <c r="E53" s="5">
        <v>8.08</v>
      </c>
      <c r="F53" s="5">
        <v>623</v>
      </c>
      <c r="G53" s="5">
        <v>941</v>
      </c>
      <c r="H53" s="2">
        <v>5.0882825</v>
      </c>
      <c r="I53" s="2">
        <v>12.96950241</v>
      </c>
      <c r="J53" s="2">
        <f t="shared" si="12"/>
        <v>1.6281459689282047</v>
      </c>
      <c r="K53" s="2">
        <f t="shared" si="13"/>
        <v>9.8023790950674261E-3</v>
      </c>
      <c r="L53" s="12">
        <f t="shared" si="14"/>
        <v>4.1233300732296412E-2</v>
      </c>
    </row>
    <row r="54" spans="1:12" ht="20.100000000000001" customHeight="1">
      <c r="A54" s="10">
        <v>43346372</v>
      </c>
      <c r="B54" s="3">
        <v>1269750</v>
      </c>
      <c r="C54" s="3">
        <v>10188</v>
      </c>
      <c r="D54" s="3">
        <v>4</v>
      </c>
      <c r="E54" s="5">
        <v>2.02</v>
      </c>
      <c r="F54" s="5">
        <v>37</v>
      </c>
      <c r="G54" s="5">
        <v>102</v>
      </c>
      <c r="H54" s="2">
        <v>7.0270270000000004</v>
      </c>
      <c r="I54" s="2">
        <v>54.59459459</v>
      </c>
      <c r="J54" s="2">
        <f t="shared" si="12"/>
        <v>0.40703649223205118</v>
      </c>
      <c r="K54" s="2">
        <f t="shared" si="13"/>
        <v>5.1318337615352996E-2</v>
      </c>
      <c r="L54" s="12">
        <f t="shared" si="14"/>
        <v>4.4694969975496643E-3</v>
      </c>
    </row>
    <row r="55" spans="1:12" ht="20.100000000000001" customHeight="1">
      <c r="A55" s="10">
        <v>43346372</v>
      </c>
      <c r="B55" s="3">
        <v>1269750</v>
      </c>
      <c r="C55" s="3">
        <v>10224</v>
      </c>
      <c r="D55" s="3">
        <v>4</v>
      </c>
      <c r="E55" s="5">
        <v>233.02</v>
      </c>
      <c r="F55" s="5" t="s">
        <v>2</v>
      </c>
      <c r="G55" s="5">
        <v>541311</v>
      </c>
      <c r="H55" s="2">
        <v>3.0047063999999999</v>
      </c>
      <c r="I55" s="2">
        <v>0.19660916000000001</v>
      </c>
      <c r="J55" s="2">
        <f t="shared" si="12"/>
        <v>46.954278920748784</v>
      </c>
      <c r="K55" s="2">
        <f t="shared" si="13"/>
        <v>3.0477985421638217E-3</v>
      </c>
      <c r="L55" s="12">
        <f t="shared" si="14"/>
        <v>23.719489110202023</v>
      </c>
    </row>
    <row r="56" spans="1:12" ht="20.100000000000001" customHeight="1">
      <c r="A56" s="10">
        <v>43346372</v>
      </c>
      <c r="B56" s="3">
        <v>1269750</v>
      </c>
      <c r="C56" s="3">
        <v>10224</v>
      </c>
      <c r="D56" s="3">
        <v>8</v>
      </c>
      <c r="E56" s="5">
        <v>140.30000000000001</v>
      </c>
      <c r="F56" s="5">
        <v>680189</v>
      </c>
      <c r="G56" s="5">
        <v>891891</v>
      </c>
      <c r="H56" s="2">
        <v>3.1123848999999999</v>
      </c>
      <c r="I56" s="2">
        <v>0.20626620000000001</v>
      </c>
      <c r="J56" s="2">
        <f t="shared" si="12"/>
        <v>28.270900920869689</v>
      </c>
      <c r="K56" s="2" t="e">
        <f t="shared" si="13"/>
        <v>#VALUE!</v>
      </c>
      <c r="L56" s="12">
        <f t="shared" si="14"/>
        <v>39.08141320236831</v>
      </c>
    </row>
    <row r="57" spans="1:12" ht="20.100000000000001" customHeight="1">
      <c r="A57" s="10">
        <v>43346372</v>
      </c>
      <c r="B57" s="3">
        <v>1269750</v>
      </c>
      <c r="C57" s="3">
        <v>10224</v>
      </c>
      <c r="D57" s="3">
        <v>9</v>
      </c>
      <c r="E57" s="5">
        <v>90.28</v>
      </c>
      <c r="F57" s="5">
        <v>481768</v>
      </c>
      <c r="G57" s="5">
        <v>748661</v>
      </c>
      <c r="H57" s="2">
        <v>5.5398449000000003</v>
      </c>
      <c r="I57" s="2">
        <v>0.18739310000000001</v>
      </c>
      <c r="J57" s="2">
        <f t="shared" si="12"/>
        <v>18.191710157777017</v>
      </c>
      <c r="K57" s="2">
        <f t="shared" si="13"/>
        <v>56.029163313401831</v>
      </c>
      <c r="L57" s="12">
        <f t="shared" si="14"/>
        <v>32.805275408652243</v>
      </c>
    </row>
    <row r="58" spans="1:12" ht="20.100000000000001" customHeight="1">
      <c r="A58" s="10">
        <v>43346372</v>
      </c>
      <c r="B58" s="3">
        <v>1269750</v>
      </c>
      <c r="C58" s="3">
        <v>10236</v>
      </c>
      <c r="D58" s="3">
        <v>1</v>
      </c>
      <c r="E58" s="5">
        <v>9.7200000000000006</v>
      </c>
      <c r="F58" s="5">
        <v>51163</v>
      </c>
      <c r="G58" s="5">
        <v>99031</v>
      </c>
      <c r="H58" s="2">
        <v>9.3557845000000004</v>
      </c>
      <c r="I58" s="2">
        <v>0.18998103999999999</v>
      </c>
      <c r="J58" s="2">
        <f t="shared" si="12"/>
        <v>1.9586112398492759</v>
      </c>
      <c r="K58" s="2">
        <f t="shared" si="13"/>
        <v>39.684643461112969</v>
      </c>
      <c r="L58" s="12">
        <f>G58/2282136*100</f>
        <v>4.3393995800425564</v>
      </c>
    </row>
    <row r="59" spans="1:12" ht="20.100000000000001" customHeight="1">
      <c r="A59" s="10">
        <v>43480563</v>
      </c>
      <c r="B59" s="3">
        <v>1269750</v>
      </c>
      <c r="C59" s="3">
        <v>10210</v>
      </c>
      <c r="D59" s="3">
        <v>4</v>
      </c>
      <c r="E59" s="5">
        <v>3.9E-2</v>
      </c>
      <c r="F59" s="5">
        <v>0</v>
      </c>
      <c r="G59" s="5">
        <v>0</v>
      </c>
      <c r="H59" s="4" t="s">
        <v>0</v>
      </c>
      <c r="I59" s="4" t="s">
        <v>1</v>
      </c>
      <c r="J59" s="2">
        <f>E59/33.375*100</f>
        <v>0.11685393258426967</v>
      </c>
      <c r="K59" s="2">
        <f>F59/287971*100</f>
        <v>0</v>
      </c>
      <c r="L59" s="12">
        <f>G59/3404*100</f>
        <v>0</v>
      </c>
    </row>
    <row r="60" spans="1:12" ht="20.100000000000001" customHeight="1">
      <c r="A60" s="10">
        <v>43480563</v>
      </c>
      <c r="B60" s="3">
        <v>1269750</v>
      </c>
      <c r="C60" s="3">
        <v>10224</v>
      </c>
      <c r="D60" s="3">
        <v>7</v>
      </c>
      <c r="E60" s="5">
        <v>14.03</v>
      </c>
      <c r="F60" s="5">
        <v>26341</v>
      </c>
      <c r="G60" s="5">
        <v>411</v>
      </c>
      <c r="H60" s="2">
        <v>1.5603051999999999</v>
      </c>
      <c r="I60" s="2">
        <v>0.53262973999999996</v>
      </c>
      <c r="J60" s="2">
        <f t="shared" ref="J60:J62" si="15">E60/33.375*100</f>
        <v>42.037453183520597</v>
      </c>
      <c r="K60" s="2">
        <f t="shared" ref="K60:K62" si="16">F60/287971*100</f>
        <v>9.1471016178712432</v>
      </c>
      <c r="L60" s="12">
        <f t="shared" ref="L60:L62" si="17">G60/3404*100</f>
        <v>12.074030552291422</v>
      </c>
    </row>
    <row r="61" spans="1:12" ht="20.100000000000001" customHeight="1">
      <c r="A61" s="10">
        <v>43480563</v>
      </c>
      <c r="B61" s="3">
        <v>1269750</v>
      </c>
      <c r="C61" s="3">
        <v>10231</v>
      </c>
      <c r="D61" s="3">
        <v>3</v>
      </c>
      <c r="E61" s="5">
        <v>0.14699999999999999</v>
      </c>
      <c r="F61" s="5">
        <v>0</v>
      </c>
      <c r="G61" s="5">
        <v>0</v>
      </c>
      <c r="H61" s="4" t="s">
        <v>0</v>
      </c>
      <c r="I61" s="4" t="s">
        <v>1</v>
      </c>
      <c r="J61" s="2">
        <f t="shared" si="15"/>
        <v>0.44044943820224719</v>
      </c>
      <c r="K61" s="2">
        <f t="shared" si="16"/>
        <v>0</v>
      </c>
      <c r="L61" s="12">
        <f t="shared" si="17"/>
        <v>0</v>
      </c>
    </row>
    <row r="62" spans="1:12" ht="20.100000000000001" customHeight="1">
      <c r="A62" s="10">
        <v>43480563</v>
      </c>
      <c r="B62" s="3">
        <v>1269750</v>
      </c>
      <c r="C62" s="3">
        <v>10232</v>
      </c>
      <c r="D62" s="3">
        <v>4</v>
      </c>
      <c r="E62" s="5">
        <v>19.158999999999999</v>
      </c>
      <c r="F62" s="5">
        <v>261630</v>
      </c>
      <c r="G62" s="5">
        <v>2993</v>
      </c>
      <c r="H62" s="2">
        <v>1.1439820000000001</v>
      </c>
      <c r="I62" s="2">
        <v>7.3229370000000002E-2</v>
      </c>
      <c r="J62" s="2">
        <f t="shared" si="15"/>
        <v>57.405243445692875</v>
      </c>
      <c r="K62" s="2">
        <f t="shared" si="16"/>
        <v>90.852898382128757</v>
      </c>
      <c r="L62" s="12">
        <f t="shared" si="17"/>
        <v>87.925969447708567</v>
      </c>
    </row>
    <row r="63" spans="1:12" ht="20.100000000000001" customHeight="1">
      <c r="A63" s="10">
        <v>52065646</v>
      </c>
      <c r="B63" s="3">
        <v>1269750</v>
      </c>
      <c r="C63" s="3">
        <v>10202</v>
      </c>
      <c r="D63" s="3">
        <v>3</v>
      </c>
      <c r="E63" s="5">
        <v>0.14299999999999999</v>
      </c>
      <c r="F63" s="5">
        <v>0</v>
      </c>
      <c r="G63" s="5">
        <v>0</v>
      </c>
      <c r="H63" s="4" t="s">
        <v>0</v>
      </c>
      <c r="I63" s="4" t="s">
        <v>1</v>
      </c>
      <c r="J63" s="2">
        <f>E63/3.25*100</f>
        <v>4.3999999999999995</v>
      </c>
      <c r="K63" s="2">
        <f>F63/247*100</f>
        <v>0</v>
      </c>
      <c r="L63" s="12">
        <f>G63/13*100</f>
        <v>0</v>
      </c>
    </row>
    <row r="64" spans="1:12" ht="20.100000000000001" customHeight="1">
      <c r="A64" s="10">
        <v>52065646</v>
      </c>
      <c r="B64" s="3">
        <v>1269750</v>
      </c>
      <c r="C64" s="3">
        <v>10224</v>
      </c>
      <c r="D64" s="3">
        <v>2</v>
      </c>
      <c r="E64" s="5">
        <v>3.1</v>
      </c>
      <c r="F64" s="5">
        <v>247</v>
      </c>
      <c r="G64" s="5">
        <v>13</v>
      </c>
      <c r="H64" s="2">
        <v>5.2631579000000004</v>
      </c>
      <c r="I64" s="2">
        <v>12.55060729</v>
      </c>
      <c r="J64" s="2">
        <f t="shared" ref="J64:J65" si="18">E64/3.25*100</f>
        <v>95.384615384615387</v>
      </c>
      <c r="K64" s="2">
        <f t="shared" ref="K64:K65" si="19">F64/247*100</f>
        <v>100</v>
      </c>
      <c r="L64" s="12">
        <f t="shared" ref="L64:L65" si="20">G64/13*100</f>
        <v>100</v>
      </c>
    </row>
    <row r="65" spans="1:12" ht="20.100000000000001" customHeight="1">
      <c r="A65" s="10">
        <v>52065646</v>
      </c>
      <c r="B65" s="3">
        <v>1269750</v>
      </c>
      <c r="C65" s="3">
        <v>10231</v>
      </c>
      <c r="D65" s="3">
        <v>2</v>
      </c>
      <c r="E65" s="5">
        <v>7.0000000000000001E-3</v>
      </c>
      <c r="F65" s="5">
        <v>0</v>
      </c>
      <c r="G65" s="5">
        <v>0</v>
      </c>
      <c r="H65" s="4" t="s">
        <v>0</v>
      </c>
      <c r="I65" s="4" t="s">
        <v>1</v>
      </c>
      <c r="J65" s="2">
        <f t="shared" si="18"/>
        <v>0.21538461538461537</v>
      </c>
      <c r="K65" s="2">
        <f t="shared" si="19"/>
        <v>0</v>
      </c>
      <c r="L65" s="12">
        <f t="shared" si="20"/>
        <v>0</v>
      </c>
    </row>
    <row r="66" spans="1:12" ht="20.100000000000001" customHeight="1">
      <c r="A66" s="10">
        <v>55107008</v>
      </c>
      <c r="B66" s="3">
        <v>1269750</v>
      </c>
      <c r="C66" s="3">
        <v>10167</v>
      </c>
      <c r="D66" s="3">
        <v>1</v>
      </c>
      <c r="E66" s="5">
        <v>24.5</v>
      </c>
      <c r="F66" s="5">
        <v>198619</v>
      </c>
      <c r="G66" s="5">
        <v>19411</v>
      </c>
      <c r="H66" s="2">
        <v>9.7729824000000001</v>
      </c>
      <c r="I66" s="2">
        <v>0.12335174</v>
      </c>
      <c r="J66" s="2">
        <f>E66/1316.532*100</f>
        <v>1.8609498287926156</v>
      </c>
      <c r="K66" s="2">
        <f>F66/3504814*100</f>
        <v>5.6670339709896167</v>
      </c>
      <c r="L66" s="12">
        <f>G66/289217*100</f>
        <v>6.7115695135486497</v>
      </c>
    </row>
    <row r="67" spans="1:12" ht="20.100000000000001" customHeight="1">
      <c r="A67" s="10">
        <v>55107008</v>
      </c>
      <c r="B67" s="3">
        <v>1269750</v>
      </c>
      <c r="C67" s="3">
        <v>10168</v>
      </c>
      <c r="D67" s="3">
        <v>1</v>
      </c>
      <c r="E67" s="5">
        <v>24.36</v>
      </c>
      <c r="F67" s="5">
        <v>2136</v>
      </c>
      <c r="G67" s="5">
        <v>96</v>
      </c>
      <c r="H67" s="2">
        <v>4.4943819999999999</v>
      </c>
      <c r="I67" s="2">
        <v>11.404494379999999</v>
      </c>
      <c r="J67" s="2">
        <f t="shared" ref="J67:J90" si="21">E67/1316.532*100</f>
        <v>1.8503158297709437</v>
      </c>
      <c r="K67" s="2">
        <f t="shared" ref="K67:K90" si="22">F67/3504814*100</f>
        <v>6.0944746283254976E-2</v>
      </c>
      <c r="L67" s="12">
        <f t="shared" ref="L67:L90" si="23">G67/289217*100</f>
        <v>3.3193069563684015E-2</v>
      </c>
    </row>
    <row r="68" spans="1:12" ht="20.100000000000001" customHeight="1">
      <c r="A68" s="10">
        <v>55107008</v>
      </c>
      <c r="B68" s="3">
        <v>1269750</v>
      </c>
      <c r="C68" s="3">
        <v>10168</v>
      </c>
      <c r="D68" s="3">
        <v>14</v>
      </c>
      <c r="E68" s="5">
        <v>24.36</v>
      </c>
      <c r="F68" s="5">
        <v>1712</v>
      </c>
      <c r="G68" s="5">
        <v>91</v>
      </c>
      <c r="H68" s="2">
        <v>5.3154206000000004</v>
      </c>
      <c r="I68" s="2">
        <v>14.228971960000001</v>
      </c>
      <c r="J68" s="2">
        <f t="shared" si="21"/>
        <v>1.8503158297709437</v>
      </c>
      <c r="K68" s="2">
        <f t="shared" si="22"/>
        <v>4.8847100017290507E-2</v>
      </c>
      <c r="L68" s="12">
        <f t="shared" si="23"/>
        <v>3.1464263857242138E-2</v>
      </c>
    </row>
    <row r="69" spans="1:12" ht="20.100000000000001" customHeight="1">
      <c r="A69" s="10">
        <v>55107008</v>
      </c>
      <c r="B69" s="3">
        <v>1269750</v>
      </c>
      <c r="C69" s="3">
        <v>10169</v>
      </c>
      <c r="D69" s="3">
        <v>1</v>
      </c>
      <c r="E69" s="5">
        <v>64.92</v>
      </c>
      <c r="F69" s="5">
        <v>10867</v>
      </c>
      <c r="G69" s="5">
        <v>457</v>
      </c>
      <c r="H69" s="2">
        <v>4.2053925000000003</v>
      </c>
      <c r="I69" s="2">
        <v>5.9740498799999999</v>
      </c>
      <c r="J69" s="2">
        <f t="shared" si="21"/>
        <v>4.9311372606210861</v>
      </c>
      <c r="K69" s="2">
        <f t="shared" si="22"/>
        <v>0.31005924993451867</v>
      </c>
      <c r="L69" s="12">
        <f t="shared" si="23"/>
        <v>0.15801284156878745</v>
      </c>
    </row>
    <row r="70" spans="1:12" ht="20.100000000000001" customHeight="1">
      <c r="A70" s="10">
        <v>55107008</v>
      </c>
      <c r="B70" s="3">
        <v>1269750</v>
      </c>
      <c r="C70" s="3">
        <v>10169</v>
      </c>
      <c r="D70" s="3">
        <v>12</v>
      </c>
      <c r="E70" s="5">
        <v>10.82</v>
      </c>
      <c r="F70" s="5">
        <v>1863</v>
      </c>
      <c r="G70" s="5">
        <v>105</v>
      </c>
      <c r="H70" s="2">
        <v>5.6360709</v>
      </c>
      <c r="I70" s="2">
        <v>5.8078368200000003</v>
      </c>
      <c r="J70" s="2">
        <f t="shared" si="21"/>
        <v>0.8218562101035144</v>
      </c>
      <c r="K70" s="2">
        <f t="shared" si="22"/>
        <v>5.3155459890310869E-2</v>
      </c>
      <c r="L70" s="12">
        <f t="shared" si="23"/>
        <v>3.6304919835279392E-2</v>
      </c>
    </row>
    <row r="71" spans="1:12" ht="20.100000000000001" customHeight="1">
      <c r="A71" s="10">
        <v>55107008</v>
      </c>
      <c r="B71" s="3">
        <v>1269750</v>
      </c>
      <c r="C71" s="3">
        <v>10170</v>
      </c>
      <c r="D71" s="3">
        <v>11</v>
      </c>
      <c r="E71" s="5">
        <v>22.22</v>
      </c>
      <c r="F71" s="5">
        <v>13895</v>
      </c>
      <c r="G71" s="5">
        <v>983</v>
      </c>
      <c r="H71" s="2">
        <v>7.0744872000000001</v>
      </c>
      <c r="I71" s="2">
        <v>1.59913638</v>
      </c>
      <c r="J71" s="2">
        <f t="shared" si="21"/>
        <v>1.687767559011099</v>
      </c>
      <c r="K71" s="2">
        <f t="shared" si="22"/>
        <v>0.3964547048716423</v>
      </c>
      <c r="L71" s="12">
        <f t="shared" si="23"/>
        <v>0.33988320188647281</v>
      </c>
    </row>
    <row r="72" spans="1:12" ht="20.100000000000001" customHeight="1">
      <c r="A72" s="10">
        <v>55107008</v>
      </c>
      <c r="B72" s="3">
        <v>1269750</v>
      </c>
      <c r="C72" s="3">
        <v>10170</v>
      </c>
      <c r="D72" s="3">
        <v>1</v>
      </c>
      <c r="E72" s="5">
        <v>10.1</v>
      </c>
      <c r="F72" s="5">
        <v>2634</v>
      </c>
      <c r="G72" s="5">
        <v>141</v>
      </c>
      <c r="H72" s="2">
        <v>5.3530752000000001</v>
      </c>
      <c r="I72" s="2">
        <v>3.8344722899999999</v>
      </c>
      <c r="J72" s="2">
        <f t="shared" si="21"/>
        <v>0.76716707227777226</v>
      </c>
      <c r="K72" s="2">
        <f t="shared" si="22"/>
        <v>7.5153774208845323E-2</v>
      </c>
      <c r="L72" s="12">
        <f t="shared" si="23"/>
        <v>4.8752320921660902E-2</v>
      </c>
    </row>
    <row r="73" spans="1:12" ht="20.100000000000001" customHeight="1">
      <c r="A73" s="10">
        <v>55107008</v>
      </c>
      <c r="B73" s="3">
        <v>1269750</v>
      </c>
      <c r="C73" s="3">
        <v>10171</v>
      </c>
      <c r="D73" s="3">
        <v>11</v>
      </c>
      <c r="E73" s="5">
        <v>2.04</v>
      </c>
      <c r="F73" s="5">
        <v>282</v>
      </c>
      <c r="G73" s="5">
        <v>18</v>
      </c>
      <c r="H73" s="2">
        <v>6.3829786999999998</v>
      </c>
      <c r="I73" s="2">
        <v>7.2340425499999998</v>
      </c>
      <c r="J73" s="2">
        <f t="shared" si="21"/>
        <v>0.15495255717293618</v>
      </c>
      <c r="K73" s="2">
        <f t="shared" si="22"/>
        <v>8.0460760542499545E-3</v>
      </c>
      <c r="L73" s="12">
        <f t="shared" si="23"/>
        <v>6.2237005431907532E-3</v>
      </c>
    </row>
    <row r="74" spans="1:12" ht="20.100000000000001" customHeight="1">
      <c r="A74" s="10">
        <v>55107008</v>
      </c>
      <c r="B74" s="3">
        <v>1269750</v>
      </c>
      <c r="C74" s="3">
        <v>10172</v>
      </c>
      <c r="D74" s="3">
        <v>11</v>
      </c>
      <c r="E74" s="5">
        <v>30.3</v>
      </c>
      <c r="F74" s="5">
        <v>19875</v>
      </c>
      <c r="G74" s="5">
        <v>1368</v>
      </c>
      <c r="H74" s="2">
        <v>6.8830188999999997</v>
      </c>
      <c r="I74" s="2">
        <v>1.5245283000000001</v>
      </c>
      <c r="J74" s="2">
        <f t="shared" si="21"/>
        <v>2.3015012168333167</v>
      </c>
      <c r="K74" s="2">
        <f t="shared" si="22"/>
        <v>0.56707716871708447</v>
      </c>
      <c r="L74" s="12">
        <f t="shared" si="23"/>
        <v>0.47300124128249726</v>
      </c>
    </row>
    <row r="75" spans="1:12" ht="20.100000000000001" customHeight="1">
      <c r="A75" s="10">
        <v>55107008</v>
      </c>
      <c r="B75" s="3">
        <v>1269750</v>
      </c>
      <c r="C75" s="3">
        <v>10173</v>
      </c>
      <c r="D75" s="3">
        <v>11</v>
      </c>
      <c r="E75" s="5">
        <v>10.1</v>
      </c>
      <c r="F75" s="5">
        <v>5560</v>
      </c>
      <c r="G75" s="5">
        <v>384</v>
      </c>
      <c r="H75" s="2">
        <v>6.9064747999999998</v>
      </c>
      <c r="I75" s="2">
        <v>1.81654676</v>
      </c>
      <c r="J75" s="2">
        <f t="shared" si="21"/>
        <v>0.76716707227777226</v>
      </c>
      <c r="K75" s="2">
        <f t="shared" si="22"/>
        <v>0.15863894631783598</v>
      </c>
      <c r="L75" s="12">
        <f t="shared" si="23"/>
        <v>0.13277227825473606</v>
      </c>
    </row>
    <row r="76" spans="1:12" ht="20.100000000000001" customHeight="1">
      <c r="A76" s="10">
        <v>55107008</v>
      </c>
      <c r="B76" s="3">
        <v>1269750</v>
      </c>
      <c r="C76" s="3">
        <v>10174</v>
      </c>
      <c r="D76" s="3">
        <v>11</v>
      </c>
      <c r="E76" s="5">
        <v>23.7</v>
      </c>
      <c r="F76" s="5">
        <v>2731</v>
      </c>
      <c r="G76" s="5">
        <v>180</v>
      </c>
      <c r="H76" s="2">
        <v>6.5909922999999999</v>
      </c>
      <c r="I76" s="2">
        <v>8.6781398799999998</v>
      </c>
      <c r="J76" s="2">
        <f t="shared" si="21"/>
        <v>1.8001841200973467</v>
      </c>
      <c r="K76" s="2">
        <f t="shared" si="22"/>
        <v>7.7921396114030581E-2</v>
      </c>
      <c r="L76" s="12">
        <f t="shared" si="23"/>
        <v>6.2237005431907529E-2</v>
      </c>
    </row>
    <row r="77" spans="1:12" ht="20.100000000000001" customHeight="1">
      <c r="A77" s="10">
        <v>55107008</v>
      </c>
      <c r="B77" s="3">
        <v>1269750</v>
      </c>
      <c r="C77" s="3">
        <v>10174</v>
      </c>
      <c r="D77" s="3">
        <v>1</v>
      </c>
      <c r="E77" s="5">
        <v>14.22</v>
      </c>
      <c r="F77" s="5">
        <v>2629</v>
      </c>
      <c r="G77" s="5">
        <v>150</v>
      </c>
      <c r="H77" s="2">
        <v>5.7055914999999997</v>
      </c>
      <c r="I77" s="2">
        <v>5.4089007200000001</v>
      </c>
      <c r="J77" s="2">
        <f t="shared" si="21"/>
        <v>1.080110472058408</v>
      </c>
      <c r="K77" s="2">
        <f t="shared" si="22"/>
        <v>7.5011113285897629E-2</v>
      </c>
      <c r="L77" s="12">
        <f t="shared" si="23"/>
        <v>5.1864171193256273E-2</v>
      </c>
    </row>
    <row r="78" spans="1:12" ht="20.100000000000001" customHeight="1">
      <c r="A78" s="10">
        <v>55107008</v>
      </c>
      <c r="B78" s="3">
        <v>1269750</v>
      </c>
      <c r="C78" s="3">
        <v>10176</v>
      </c>
      <c r="D78" s="3">
        <v>14</v>
      </c>
      <c r="E78" s="5">
        <v>231.77</v>
      </c>
      <c r="F78" s="5">
        <v>148563</v>
      </c>
      <c r="G78" s="5">
        <v>10208</v>
      </c>
      <c r="H78" s="2">
        <v>6.8711589999999996</v>
      </c>
      <c r="I78" s="2">
        <v>1.56007889</v>
      </c>
      <c r="J78" s="2">
        <f t="shared" si="21"/>
        <v>17.604585380378147</v>
      </c>
      <c r="K78" s="2">
        <f t="shared" si="22"/>
        <v>4.2388269391756594</v>
      </c>
      <c r="L78" s="12">
        <f t="shared" si="23"/>
        <v>3.5295297302717334</v>
      </c>
    </row>
    <row r="79" spans="1:12" ht="20.100000000000001" customHeight="1">
      <c r="A79" s="10">
        <v>55107008</v>
      </c>
      <c r="B79" s="3">
        <v>1269750</v>
      </c>
      <c r="C79" s="3">
        <v>10176</v>
      </c>
      <c r="D79" s="3">
        <v>1</v>
      </c>
      <c r="E79" s="5">
        <v>56.76</v>
      </c>
      <c r="F79" s="5">
        <v>23979</v>
      </c>
      <c r="G79" s="5">
        <v>1522</v>
      </c>
      <c r="H79" s="2">
        <v>6.3472204999999997</v>
      </c>
      <c r="I79" s="2">
        <v>2.3670711899999999</v>
      </c>
      <c r="J79" s="2">
        <f t="shared" si="21"/>
        <v>4.3113270319293422</v>
      </c>
      <c r="K79" s="2">
        <f t="shared" si="22"/>
        <v>0.68417325427255193</v>
      </c>
      <c r="L79" s="12">
        <f t="shared" si="23"/>
        <v>0.52624845704090706</v>
      </c>
    </row>
    <row r="80" spans="1:12" ht="20.100000000000001" customHeight="1">
      <c r="A80" s="10">
        <v>55107008</v>
      </c>
      <c r="B80" s="3">
        <v>1269750</v>
      </c>
      <c r="C80" s="3">
        <v>10178</v>
      </c>
      <c r="D80" s="3">
        <v>5</v>
      </c>
      <c r="E80" s="5">
        <v>2.02</v>
      </c>
      <c r="F80" s="5">
        <v>133</v>
      </c>
      <c r="G80" s="5">
        <v>141</v>
      </c>
      <c r="H80" s="2">
        <v>0.5263158</v>
      </c>
      <c r="I80" s="2">
        <v>15.18796992</v>
      </c>
      <c r="J80" s="2">
        <f t="shared" si="21"/>
        <v>0.15343341445555445</v>
      </c>
      <c r="K80" s="2">
        <f t="shared" si="22"/>
        <v>3.7947805504086663E-3</v>
      </c>
      <c r="L80" s="12">
        <f t="shared" si="23"/>
        <v>4.8752320921660902E-2</v>
      </c>
    </row>
    <row r="81" spans="1:12" ht="20.100000000000001" customHeight="1">
      <c r="A81" s="10">
        <v>55107008</v>
      </c>
      <c r="B81" s="3">
        <v>1269750</v>
      </c>
      <c r="C81" s="3">
        <v>10187</v>
      </c>
      <c r="D81" s="3">
        <v>8</v>
      </c>
      <c r="E81" s="5">
        <v>10.1</v>
      </c>
      <c r="F81" s="5">
        <v>5991</v>
      </c>
      <c r="G81" s="5">
        <v>347</v>
      </c>
      <c r="H81" s="2">
        <v>5.7920214000000003</v>
      </c>
      <c r="I81" s="2">
        <v>1.6858621300000001</v>
      </c>
      <c r="J81" s="2">
        <f t="shared" si="21"/>
        <v>0.76716707227777226</v>
      </c>
      <c r="K81" s="2">
        <f t="shared" si="22"/>
        <v>0.17093631787592722</v>
      </c>
      <c r="L81" s="12">
        <f t="shared" si="23"/>
        <v>0.11997911602706618</v>
      </c>
    </row>
    <row r="82" spans="1:12" ht="20.100000000000001" customHeight="1">
      <c r="A82" s="10">
        <v>55107008</v>
      </c>
      <c r="B82" s="3">
        <v>1269750</v>
      </c>
      <c r="C82" s="3">
        <v>10188</v>
      </c>
      <c r="D82" s="3">
        <v>1</v>
      </c>
      <c r="E82" s="5">
        <v>10.1</v>
      </c>
      <c r="F82" s="5">
        <v>1524</v>
      </c>
      <c r="G82" s="5">
        <v>134</v>
      </c>
      <c r="H82" s="2">
        <v>8.7926508999999999</v>
      </c>
      <c r="I82" s="2">
        <v>6.6272965900000003</v>
      </c>
      <c r="J82" s="2">
        <f t="shared" si="21"/>
        <v>0.76716707227777226</v>
      </c>
      <c r="K82" s="2">
        <f t="shared" si="22"/>
        <v>4.3483049314457206E-2</v>
      </c>
      <c r="L82" s="12">
        <f t="shared" si="23"/>
        <v>4.6331992932642271E-2</v>
      </c>
    </row>
    <row r="83" spans="1:12" ht="20.100000000000001" customHeight="1">
      <c r="A83" s="10">
        <v>55107008</v>
      </c>
      <c r="B83" s="3">
        <v>1269750</v>
      </c>
      <c r="C83" s="3">
        <v>10224</v>
      </c>
      <c r="D83" s="3">
        <v>4</v>
      </c>
      <c r="E83" s="5">
        <v>960.75</v>
      </c>
      <c r="F83" s="5" t="s">
        <v>3</v>
      </c>
      <c r="G83" s="5">
        <v>5538</v>
      </c>
      <c r="H83" s="2">
        <v>7.2131876999999998</v>
      </c>
      <c r="I83" s="2">
        <v>8.6030330000000002E-2</v>
      </c>
      <c r="J83" s="2">
        <f t="shared" si="21"/>
        <v>72.975818286224722</v>
      </c>
      <c r="K83" s="2" t="e">
        <f t="shared" si="22"/>
        <v>#VALUE!</v>
      </c>
      <c r="L83" s="12">
        <f t="shared" si="23"/>
        <v>1.9148252004550215</v>
      </c>
    </row>
    <row r="84" spans="1:12" ht="20.100000000000001" customHeight="1">
      <c r="A84" s="10">
        <v>55107008</v>
      </c>
      <c r="B84" s="3">
        <v>1269750</v>
      </c>
      <c r="C84" s="3">
        <v>10224</v>
      </c>
      <c r="D84" s="3">
        <v>10</v>
      </c>
      <c r="E84" s="5">
        <v>309.27</v>
      </c>
      <c r="F84" s="5" t="s">
        <v>4</v>
      </c>
      <c r="G84" s="5">
        <v>28177</v>
      </c>
      <c r="H84" s="2">
        <v>9.1190320000000007</v>
      </c>
      <c r="I84" s="2">
        <v>8.5936639999999995E-2</v>
      </c>
      <c r="J84" s="2">
        <f t="shared" si="21"/>
        <v>23.491263410232339</v>
      </c>
      <c r="K84" s="2" t="e">
        <f t="shared" si="22"/>
        <v>#VALUE!</v>
      </c>
      <c r="L84" s="12">
        <f t="shared" si="23"/>
        <v>9.7425116780825469</v>
      </c>
    </row>
    <row r="85" spans="1:12" ht="20.100000000000001" customHeight="1">
      <c r="A85" s="10">
        <v>55107008</v>
      </c>
      <c r="B85" s="3">
        <v>1269750</v>
      </c>
      <c r="C85" s="3">
        <v>10227</v>
      </c>
      <c r="D85" s="3">
        <v>1</v>
      </c>
      <c r="E85" s="5">
        <v>51.113999999999997</v>
      </c>
      <c r="F85" s="5">
        <v>1340928</v>
      </c>
      <c r="G85" s="5">
        <v>82199</v>
      </c>
      <c r="H85" s="2">
        <v>6.1300084999999997</v>
      </c>
      <c r="I85" s="2">
        <v>3.811838E-2</v>
      </c>
      <c r="J85" s="2">
        <f t="shared" si="21"/>
        <v>3.8824730428124803</v>
      </c>
      <c r="K85" s="2">
        <f t="shared" si="22"/>
        <v>38.259605217281148</v>
      </c>
      <c r="L85" s="12">
        <f t="shared" si="23"/>
        <v>28.421220052763154</v>
      </c>
    </row>
    <row r="86" spans="1:12" ht="20.100000000000001" customHeight="1">
      <c r="A86" s="10">
        <v>55107008</v>
      </c>
      <c r="B86" s="3">
        <v>1269750</v>
      </c>
      <c r="C86" s="3">
        <v>10231</v>
      </c>
      <c r="D86" s="3">
        <v>1</v>
      </c>
      <c r="E86" s="5">
        <v>0.46200000000000002</v>
      </c>
      <c r="F86" s="5">
        <v>0</v>
      </c>
      <c r="G86" s="5">
        <v>0</v>
      </c>
      <c r="H86" s="4" t="s">
        <v>0</v>
      </c>
      <c r="I86" s="4" t="s">
        <v>1</v>
      </c>
      <c r="J86" s="2">
        <f t="shared" si="21"/>
        <v>3.5092196771517904E-2</v>
      </c>
      <c r="K86" s="2">
        <f t="shared" si="22"/>
        <v>0</v>
      </c>
      <c r="L86" s="12">
        <f t="shared" si="23"/>
        <v>0</v>
      </c>
    </row>
    <row r="87" spans="1:12" ht="20.100000000000001" customHeight="1">
      <c r="A87" s="10">
        <v>55107008</v>
      </c>
      <c r="B87" s="3">
        <v>1269750</v>
      </c>
      <c r="C87" s="3">
        <v>10232</v>
      </c>
      <c r="D87" s="3">
        <v>1</v>
      </c>
      <c r="E87" s="5">
        <v>212.57599999999999</v>
      </c>
      <c r="F87" s="5">
        <v>621731</v>
      </c>
      <c r="G87" s="5">
        <v>43136</v>
      </c>
      <c r="H87" s="2">
        <v>6.9380487999999998</v>
      </c>
      <c r="I87" s="2">
        <v>0.34190992999999997</v>
      </c>
      <c r="J87" s="2">
        <f t="shared" si="21"/>
        <v>16.146664114506901</v>
      </c>
      <c r="K87" s="2">
        <f t="shared" si="22"/>
        <v>17.739343657038575</v>
      </c>
      <c r="L87" s="12">
        <f t="shared" si="23"/>
        <v>14.914752590615352</v>
      </c>
    </row>
    <row r="88" spans="1:12" ht="20.100000000000001" customHeight="1">
      <c r="A88" s="10">
        <v>55107008</v>
      </c>
      <c r="B88" s="3">
        <v>1269750</v>
      </c>
      <c r="C88" s="3">
        <v>10234</v>
      </c>
      <c r="D88" s="3">
        <v>1</v>
      </c>
      <c r="E88" s="5">
        <v>47.6</v>
      </c>
      <c r="F88" s="5">
        <v>624208</v>
      </c>
      <c r="G88" s="5">
        <v>58976</v>
      </c>
      <c r="H88" s="2">
        <v>9.4481327000000004</v>
      </c>
      <c r="I88" s="2">
        <v>7.6256630000000006E-2</v>
      </c>
      <c r="J88" s="2">
        <f t="shared" si="21"/>
        <v>3.6155596673685104</v>
      </c>
      <c r="K88" s="2">
        <f t="shared" si="22"/>
        <v>17.810017878266866</v>
      </c>
      <c r="L88" s="12">
        <f t="shared" si="23"/>
        <v>20.391609068623215</v>
      </c>
    </row>
    <row r="89" spans="1:12" ht="20.100000000000001" customHeight="1">
      <c r="A89" s="10">
        <v>55107008</v>
      </c>
      <c r="B89" s="3">
        <v>1269750</v>
      </c>
      <c r="C89" s="3">
        <v>10236</v>
      </c>
      <c r="D89" s="3">
        <v>1</v>
      </c>
      <c r="E89" s="5">
        <v>87.84</v>
      </c>
      <c r="F89" s="5">
        <v>12544051</v>
      </c>
      <c r="G89" s="5">
        <v>545</v>
      </c>
      <c r="H89" s="2">
        <v>8.0153538999999991</v>
      </c>
      <c r="I89" s="2">
        <v>7.0025229999999994E-2</v>
      </c>
      <c r="J89" s="2">
        <f t="shared" si="21"/>
        <v>6.6720748147405455</v>
      </c>
      <c r="K89" s="2">
        <f t="shared" si="22"/>
        <v>357.90917863258932</v>
      </c>
      <c r="L89" s="12">
        <f t="shared" si="23"/>
        <v>0.18843982200216447</v>
      </c>
    </row>
    <row r="90" spans="1:12" ht="20.100000000000001" customHeight="1">
      <c r="A90" s="10">
        <v>55107008</v>
      </c>
      <c r="B90" s="3">
        <v>1269750</v>
      </c>
      <c r="C90" s="3">
        <v>10236</v>
      </c>
      <c r="D90" s="3">
        <v>2</v>
      </c>
      <c r="E90" s="5">
        <v>35.28</v>
      </c>
      <c r="F90" s="5">
        <v>474954</v>
      </c>
      <c r="G90" s="5">
        <v>35051</v>
      </c>
      <c r="H90" s="2">
        <v>7.3798725999999997</v>
      </c>
      <c r="I90" s="2">
        <v>7.4280879999999994E-2</v>
      </c>
      <c r="J90" s="2">
        <f t="shared" si="21"/>
        <v>2.6797677534613666</v>
      </c>
      <c r="K90" s="2">
        <f t="shared" si="22"/>
        <v>13.551475199539833</v>
      </c>
      <c r="L90" s="12">
        <f t="shared" si="23"/>
        <v>12.119273763298837</v>
      </c>
    </row>
    <row r="91" spans="1:12" ht="20.100000000000001" customHeight="1">
      <c r="A91" s="10">
        <v>60663561</v>
      </c>
      <c r="B91" s="3">
        <v>1269750</v>
      </c>
      <c r="C91" s="3">
        <v>10232</v>
      </c>
      <c r="D91" s="3">
        <v>5</v>
      </c>
      <c r="E91" s="5">
        <v>10.766</v>
      </c>
      <c r="F91" s="5">
        <v>374044</v>
      </c>
      <c r="G91" s="5">
        <v>1617</v>
      </c>
      <c r="H91" s="2">
        <v>0.43230210000000002</v>
      </c>
      <c r="I91" s="2">
        <v>2.878271E-2</v>
      </c>
      <c r="J91" s="2">
        <f>10.766/(10.766+0.413)*100</f>
        <v>96.305572949279892</v>
      </c>
      <c r="K91" s="2">
        <f>374044/(374044+5617)*100</f>
        <v>98.520522255380456</v>
      </c>
      <c r="L91" s="12">
        <f>1617/(1617+63)*100</f>
        <v>96.25</v>
      </c>
    </row>
    <row r="92" spans="1:12" ht="20.100000000000001" customHeight="1">
      <c r="A92" s="10">
        <v>60663561</v>
      </c>
      <c r="B92" s="3">
        <v>1269750</v>
      </c>
      <c r="C92" s="3">
        <v>10232</v>
      </c>
      <c r="D92" s="3">
        <v>1</v>
      </c>
      <c r="E92" s="5">
        <v>0.41299999999999998</v>
      </c>
      <c r="F92" s="5">
        <v>5617</v>
      </c>
      <c r="G92" s="5">
        <v>63</v>
      </c>
      <c r="H92" s="2">
        <v>1.1215952</v>
      </c>
      <c r="I92" s="2">
        <v>7.3526789999999995E-2</v>
      </c>
      <c r="J92" s="2">
        <f>100-J91</f>
        <v>3.6944270507201082</v>
      </c>
      <c r="K92" s="2">
        <f>100-K91</f>
        <v>1.479477744619544</v>
      </c>
      <c r="L92" s="12">
        <f>100-96.25</f>
        <v>3.75</v>
      </c>
    </row>
    <row r="93" spans="1:12" ht="20.100000000000001" customHeight="1">
      <c r="A93" s="10">
        <v>62310876</v>
      </c>
      <c r="B93" s="3">
        <v>1643084</v>
      </c>
      <c r="C93" s="3">
        <v>10235</v>
      </c>
      <c r="D93" s="3">
        <v>1</v>
      </c>
      <c r="E93" s="5">
        <v>1.0978000000000001</v>
      </c>
      <c r="F93" s="5">
        <v>10978</v>
      </c>
      <c r="G93" s="5">
        <v>479</v>
      </c>
      <c r="H93" s="2">
        <v>4.3632720000000003</v>
      </c>
      <c r="I93" s="2">
        <v>0.1</v>
      </c>
      <c r="J93" s="2">
        <v>100</v>
      </c>
      <c r="K93" s="2">
        <v>100</v>
      </c>
      <c r="L93" s="12">
        <v>100</v>
      </c>
    </row>
    <row r="94" spans="1:12" ht="20.100000000000001" customHeight="1">
      <c r="A94" s="10">
        <v>80715286</v>
      </c>
      <c r="B94" s="3">
        <v>1269750</v>
      </c>
      <c r="C94" s="3">
        <v>10167</v>
      </c>
      <c r="D94" s="3">
        <v>5</v>
      </c>
      <c r="E94" s="5">
        <v>4.2</v>
      </c>
      <c r="F94" s="5">
        <v>18517</v>
      </c>
      <c r="G94" s="5">
        <v>536</v>
      </c>
      <c r="H94" s="2">
        <v>2.8946374000000001</v>
      </c>
      <c r="I94" s="2">
        <v>0.22681860000000001</v>
      </c>
      <c r="J94" s="2">
        <f>E95/303.014*100</f>
        <v>10.71237632584633</v>
      </c>
      <c r="K94" s="2">
        <f>F94/339688*100</f>
        <v>5.4511787287157629</v>
      </c>
      <c r="L94" s="12">
        <f>G94/7058*100</f>
        <v>7.5942193255879848</v>
      </c>
    </row>
    <row r="95" spans="1:12" ht="20.100000000000001" customHeight="1">
      <c r="A95" s="10">
        <v>80715286</v>
      </c>
      <c r="B95" s="3">
        <v>1269750</v>
      </c>
      <c r="C95" s="3">
        <v>10169</v>
      </c>
      <c r="D95" s="3">
        <v>16</v>
      </c>
      <c r="E95" s="5">
        <v>32.46</v>
      </c>
      <c r="F95" s="5">
        <v>704</v>
      </c>
      <c r="G95" s="5">
        <v>18</v>
      </c>
      <c r="H95" s="2">
        <v>2.5568181999999999</v>
      </c>
      <c r="I95" s="2">
        <v>46.107954550000002</v>
      </c>
      <c r="J95" s="2">
        <f t="shared" ref="J95:J105" si="24">E96/303.014*100</f>
        <v>22.665619410324279</v>
      </c>
      <c r="K95" s="2">
        <f t="shared" ref="K95:K105" si="25">F95/339688*100</f>
        <v>0.2072490049692659</v>
      </c>
      <c r="L95" s="12">
        <f t="shared" ref="L95:L105" si="26">G95/7058*100</f>
        <v>0.25502975347123835</v>
      </c>
    </row>
    <row r="96" spans="1:12" ht="20.100000000000001" customHeight="1">
      <c r="A96" s="10">
        <v>80715286</v>
      </c>
      <c r="B96" s="3">
        <v>1269750</v>
      </c>
      <c r="C96" s="3">
        <v>10170</v>
      </c>
      <c r="D96" s="3">
        <v>16</v>
      </c>
      <c r="E96" s="5">
        <v>68.680000000000007</v>
      </c>
      <c r="F96" s="5">
        <v>51844</v>
      </c>
      <c r="G96" s="5">
        <v>943</v>
      </c>
      <c r="H96" s="2">
        <v>1.8189183</v>
      </c>
      <c r="I96" s="2">
        <v>1.3247434600000001</v>
      </c>
      <c r="J96" s="2">
        <f t="shared" si="24"/>
        <v>8.0326321556099707</v>
      </c>
      <c r="K96" s="2">
        <f t="shared" si="25"/>
        <v>15.262240644355998</v>
      </c>
      <c r="L96" s="12">
        <f t="shared" si="26"/>
        <v>13.36072541796543</v>
      </c>
    </row>
    <row r="97" spans="1:12" ht="20.100000000000001" customHeight="1">
      <c r="A97" s="10">
        <v>80715286</v>
      </c>
      <c r="B97" s="3">
        <v>1269750</v>
      </c>
      <c r="C97" s="3">
        <v>10171</v>
      </c>
      <c r="D97" s="3">
        <v>15</v>
      </c>
      <c r="E97" s="5">
        <v>24.34</v>
      </c>
      <c r="F97" s="5">
        <v>16215</v>
      </c>
      <c r="G97" s="5">
        <v>380</v>
      </c>
      <c r="H97" s="2">
        <v>2.3435090999999999</v>
      </c>
      <c r="I97" s="2">
        <v>1.5010792500000001</v>
      </c>
      <c r="J97" s="2">
        <f t="shared" si="24"/>
        <v>17.332532490247978</v>
      </c>
      <c r="K97" s="2">
        <f t="shared" si="25"/>
        <v>4.7734980334895551</v>
      </c>
      <c r="L97" s="12">
        <f t="shared" si="26"/>
        <v>5.3839614621705865</v>
      </c>
    </row>
    <row r="98" spans="1:12" ht="20.100000000000001" customHeight="1">
      <c r="A98" s="10">
        <v>80715286</v>
      </c>
      <c r="B98" s="3">
        <v>1269750</v>
      </c>
      <c r="C98" s="3">
        <v>10172</v>
      </c>
      <c r="D98" s="3">
        <v>4</v>
      </c>
      <c r="E98" s="5">
        <v>52.52</v>
      </c>
      <c r="F98" s="5">
        <v>71789</v>
      </c>
      <c r="G98" s="5">
        <v>1279</v>
      </c>
      <c r="H98" s="2">
        <v>1.7816099999999999</v>
      </c>
      <c r="I98" s="2">
        <v>0.73158840000000003</v>
      </c>
      <c r="J98" s="2">
        <f t="shared" si="24"/>
        <v>14.665989030209825</v>
      </c>
      <c r="K98" s="2">
        <f t="shared" si="25"/>
        <v>21.133805138833281</v>
      </c>
      <c r="L98" s="12">
        <f t="shared" si="26"/>
        <v>18.121280816095211</v>
      </c>
    </row>
    <row r="99" spans="1:12" ht="20.100000000000001" customHeight="1">
      <c r="A99" s="10">
        <v>80715286</v>
      </c>
      <c r="B99" s="3">
        <v>1269750</v>
      </c>
      <c r="C99" s="3">
        <v>10173</v>
      </c>
      <c r="D99" s="3">
        <v>14</v>
      </c>
      <c r="E99" s="5">
        <v>44.44</v>
      </c>
      <c r="F99" s="5">
        <v>28786</v>
      </c>
      <c r="G99" s="5">
        <v>597</v>
      </c>
      <c r="H99" s="2">
        <v>2.0739247999999999</v>
      </c>
      <c r="I99" s="2">
        <v>1.5438060199999999</v>
      </c>
      <c r="J99" s="2">
        <f t="shared" si="24"/>
        <v>1.5642841584877265</v>
      </c>
      <c r="K99" s="2">
        <f t="shared" si="25"/>
        <v>8.4742469560302389</v>
      </c>
      <c r="L99" s="12">
        <f t="shared" si="26"/>
        <v>8.4584868234627368</v>
      </c>
    </row>
    <row r="100" spans="1:12" ht="20.100000000000001" customHeight="1">
      <c r="A100" s="10">
        <v>80715286</v>
      </c>
      <c r="B100" s="3">
        <v>1269750</v>
      </c>
      <c r="C100" s="3">
        <v>10174</v>
      </c>
      <c r="D100" s="3">
        <v>15</v>
      </c>
      <c r="E100" s="5">
        <v>4.74</v>
      </c>
      <c r="F100" s="5">
        <v>145</v>
      </c>
      <c r="G100" s="5">
        <v>1</v>
      </c>
      <c r="H100" s="2">
        <v>0.68965520000000002</v>
      </c>
      <c r="I100" s="2">
        <v>32.689655170000002</v>
      </c>
      <c r="J100" s="2">
        <f t="shared" si="24"/>
        <v>12.487871847505398</v>
      </c>
      <c r="K100" s="2">
        <f t="shared" si="25"/>
        <v>4.2686229716681193E-2</v>
      </c>
      <c r="L100" s="12">
        <f t="shared" si="26"/>
        <v>1.4168319637291017E-2</v>
      </c>
    </row>
    <row r="101" spans="1:12" ht="20.100000000000001" customHeight="1">
      <c r="A101" s="10">
        <v>80715286</v>
      </c>
      <c r="B101" s="3">
        <v>1269750</v>
      </c>
      <c r="C101" s="3">
        <v>10176</v>
      </c>
      <c r="D101" s="3">
        <v>4</v>
      </c>
      <c r="E101" s="5">
        <v>37.840000000000003</v>
      </c>
      <c r="F101" s="5">
        <v>7644</v>
      </c>
      <c r="G101" s="5">
        <v>121</v>
      </c>
      <c r="H101" s="2">
        <v>1.5829409000000001</v>
      </c>
      <c r="I101" s="2">
        <v>4.9502878099999998</v>
      </c>
      <c r="J101" s="2">
        <f t="shared" si="24"/>
        <v>1.3332717300190751</v>
      </c>
      <c r="K101" s="2">
        <f t="shared" si="25"/>
        <v>2.2503002755469725</v>
      </c>
      <c r="L101" s="12">
        <f t="shared" si="26"/>
        <v>1.7143666761122132</v>
      </c>
    </row>
    <row r="102" spans="1:12" ht="20.100000000000001" customHeight="1">
      <c r="A102" s="10">
        <v>80715286</v>
      </c>
      <c r="B102" s="3">
        <v>1269750</v>
      </c>
      <c r="C102" s="3">
        <v>10187</v>
      </c>
      <c r="D102" s="3">
        <v>3</v>
      </c>
      <c r="E102" s="5">
        <v>4.04</v>
      </c>
      <c r="F102" s="5">
        <v>947</v>
      </c>
      <c r="G102" s="5">
        <v>12</v>
      </c>
      <c r="H102" s="2">
        <v>1.2671595</v>
      </c>
      <c r="I102" s="2">
        <v>4.2661034799999999</v>
      </c>
      <c r="J102" s="2">
        <f t="shared" si="24"/>
        <v>1.9999075950286123</v>
      </c>
      <c r="K102" s="2">
        <f t="shared" si="25"/>
        <v>0.27878523821860057</v>
      </c>
      <c r="L102" s="12">
        <f t="shared" si="26"/>
        <v>0.17001983564749221</v>
      </c>
    </row>
    <row r="103" spans="1:12" ht="20.100000000000001" customHeight="1">
      <c r="A103" s="10">
        <v>80715286</v>
      </c>
      <c r="B103" s="3">
        <v>1269750</v>
      </c>
      <c r="C103" s="3">
        <v>10188</v>
      </c>
      <c r="D103" s="3">
        <v>3</v>
      </c>
      <c r="E103" s="5">
        <v>6.06</v>
      </c>
      <c r="F103" s="5">
        <v>1532</v>
      </c>
      <c r="G103" s="5">
        <v>38</v>
      </c>
      <c r="H103" s="2">
        <v>2.4804178000000001</v>
      </c>
      <c r="I103" s="2">
        <v>3.9556135800000001</v>
      </c>
      <c r="J103" s="2">
        <f t="shared" si="24"/>
        <v>6.2419558172229666</v>
      </c>
      <c r="K103" s="2">
        <f t="shared" si="25"/>
        <v>0.451002096041073</v>
      </c>
      <c r="L103" s="12">
        <f t="shared" si="26"/>
        <v>0.53839614621705867</v>
      </c>
    </row>
    <row r="104" spans="1:12" ht="20.100000000000001" customHeight="1">
      <c r="A104" s="10">
        <v>80715286</v>
      </c>
      <c r="B104" s="3">
        <v>1269750</v>
      </c>
      <c r="C104" s="3">
        <v>10232</v>
      </c>
      <c r="D104" s="3">
        <v>1</v>
      </c>
      <c r="E104" s="5">
        <v>18.914000000000001</v>
      </c>
      <c r="F104" s="5">
        <v>141434</v>
      </c>
      <c r="G104" s="5">
        <v>3127</v>
      </c>
      <c r="H104" s="2">
        <v>2.2109252000000001</v>
      </c>
      <c r="I104" s="2">
        <v>0.13373022000000001</v>
      </c>
      <c r="J104" s="2">
        <f t="shared" si="24"/>
        <v>1.5774848686859351</v>
      </c>
      <c r="K104" s="2">
        <f t="shared" si="25"/>
        <v>41.636442853441977</v>
      </c>
      <c r="L104" s="12">
        <f t="shared" si="26"/>
        <v>44.304335505809014</v>
      </c>
    </row>
    <row r="105" spans="1:12" ht="20.100000000000001" customHeight="1" thickBot="1">
      <c r="A105" s="13">
        <v>94757439</v>
      </c>
      <c r="B105" s="14">
        <v>1269750</v>
      </c>
      <c r="C105" s="14">
        <v>10176</v>
      </c>
      <c r="D105" s="14">
        <v>8</v>
      </c>
      <c r="E105" s="27">
        <v>4.78</v>
      </c>
      <c r="F105" s="27">
        <v>131</v>
      </c>
      <c r="G105" s="27">
        <v>6</v>
      </c>
      <c r="H105" s="15">
        <v>4.5801527000000002</v>
      </c>
      <c r="I105" s="15">
        <v>36.488549620000001</v>
      </c>
      <c r="J105" s="15">
        <f t="shared" si="24"/>
        <v>0</v>
      </c>
      <c r="K105" s="15">
        <f t="shared" si="25"/>
        <v>3.8564800640587829E-2</v>
      </c>
      <c r="L105" s="16">
        <f t="shared" si="26"/>
        <v>8.5009917823746103E-2</v>
      </c>
    </row>
    <row r="106" spans="1:12" ht="20.100000000000001" customHeight="1"/>
    <row r="113" spans="2:3" ht="19.95" customHeight="1">
      <c r="B113" s="21" t="s">
        <v>21</v>
      </c>
      <c r="C113" s="21" t="s">
        <v>22</v>
      </c>
    </row>
    <row r="114" spans="2:3" ht="19.95" customHeight="1">
      <c r="B114" s="18">
        <v>32359233</v>
      </c>
      <c r="C114" s="19">
        <v>2785.4259999999999</v>
      </c>
    </row>
    <row r="115" spans="2:3" ht="19.95" customHeight="1">
      <c r="B115" s="22">
        <v>55107008</v>
      </c>
      <c r="C115" s="20">
        <v>2277.2820000000002</v>
      </c>
    </row>
    <row r="116" spans="2:3" ht="19.95" customHeight="1">
      <c r="B116" s="22">
        <v>43346372</v>
      </c>
      <c r="C116" s="24">
        <v>496.27</v>
      </c>
    </row>
    <row r="117" spans="2:3" ht="19.95" customHeight="1">
      <c r="B117" s="22">
        <v>80715286</v>
      </c>
      <c r="C117" s="20">
        <v>298.23399999999998</v>
      </c>
    </row>
    <row r="118" spans="2:3" ht="19.95" customHeight="1">
      <c r="B118" s="22">
        <v>19729577</v>
      </c>
      <c r="C118" s="24">
        <v>73.849999999999994</v>
      </c>
    </row>
    <row r="119" spans="2:3" ht="19.95" customHeight="1">
      <c r="B119" s="22">
        <v>42017814</v>
      </c>
      <c r="C119" s="24">
        <v>71.62</v>
      </c>
    </row>
    <row r="120" spans="2:3" ht="19.95" customHeight="1">
      <c r="B120" s="22">
        <v>15221664</v>
      </c>
      <c r="C120" s="24">
        <v>59.722799999999999</v>
      </c>
    </row>
    <row r="121" spans="2:3" ht="19.95" customHeight="1">
      <c r="B121" s="22">
        <v>43480563</v>
      </c>
      <c r="C121" s="20">
        <v>33.375</v>
      </c>
    </row>
    <row r="122" spans="2:3" ht="19.95" customHeight="1">
      <c r="B122" s="22">
        <v>36011719</v>
      </c>
      <c r="C122" s="24">
        <v>11.52</v>
      </c>
    </row>
    <row r="123" spans="2:3" ht="19.95" customHeight="1">
      <c r="B123" s="22">
        <v>60663561</v>
      </c>
      <c r="C123" s="20">
        <v>11.179</v>
      </c>
    </row>
    <row r="124" spans="2:3" ht="19.95" customHeight="1">
      <c r="B124" s="22">
        <v>94757439</v>
      </c>
      <c r="C124" s="24">
        <v>4.78</v>
      </c>
    </row>
    <row r="125" spans="2:3" ht="19.95" customHeight="1">
      <c r="B125" s="22">
        <v>52065646</v>
      </c>
      <c r="C125" s="24">
        <v>3.25</v>
      </c>
    </row>
    <row r="126" spans="2:3" ht="19.95" customHeight="1">
      <c r="B126" s="22">
        <v>62310876</v>
      </c>
      <c r="C126" s="24">
        <v>1.0978000000000001</v>
      </c>
    </row>
    <row r="127" spans="2:3" ht="19.95" customHeight="1">
      <c r="B127" s="22">
        <v>19383848</v>
      </c>
      <c r="C127" s="20">
        <v>0.50700000000000001</v>
      </c>
    </row>
    <row r="131" spans="2:4" ht="19.95" customHeight="1" thickBot="1"/>
    <row r="132" spans="2:4" ht="19.95" customHeight="1">
      <c r="B132" s="6" t="s">
        <v>21</v>
      </c>
      <c r="C132" s="7" t="s">
        <v>6</v>
      </c>
      <c r="D132" s="32" t="s">
        <v>22</v>
      </c>
    </row>
    <row r="133" spans="2:4" ht="19.95" customHeight="1">
      <c r="B133" s="10">
        <v>32359233</v>
      </c>
      <c r="C133" s="2">
        <v>17</v>
      </c>
      <c r="D133" s="33">
        <v>2785.4259999999999</v>
      </c>
    </row>
    <row r="134" spans="2:4" ht="19.95" customHeight="1">
      <c r="B134" s="10">
        <v>55107008</v>
      </c>
      <c r="C134" s="2">
        <v>18</v>
      </c>
      <c r="D134" s="33">
        <v>2277.2820000000002</v>
      </c>
    </row>
    <row r="135" spans="2:4" ht="19.95" customHeight="1">
      <c r="B135" s="10">
        <v>43346372</v>
      </c>
      <c r="C135" s="2">
        <v>6</v>
      </c>
      <c r="D135" s="12">
        <v>496.27</v>
      </c>
    </row>
    <row r="136" spans="2:4" ht="19.95" customHeight="1">
      <c r="B136" s="10">
        <v>80715286</v>
      </c>
      <c r="C136" s="2">
        <v>11</v>
      </c>
      <c r="D136" s="33">
        <v>298.23399999999998</v>
      </c>
    </row>
    <row r="137" spans="2:4" ht="19.95" customHeight="1">
      <c r="B137" s="10">
        <v>19729577</v>
      </c>
      <c r="C137" s="2">
        <v>3</v>
      </c>
      <c r="D137" s="12">
        <v>73.849999999999994</v>
      </c>
    </row>
    <row r="138" spans="2:4" ht="19.95" customHeight="1">
      <c r="B138" s="10">
        <v>42017814</v>
      </c>
      <c r="C138" s="2">
        <v>9</v>
      </c>
      <c r="D138" s="12">
        <v>71.62</v>
      </c>
    </row>
    <row r="139" spans="2:4" ht="19.95" customHeight="1">
      <c r="B139" s="10">
        <v>15221664</v>
      </c>
      <c r="C139" s="2">
        <v>2</v>
      </c>
      <c r="D139" s="12">
        <v>59.722799999999999</v>
      </c>
    </row>
    <row r="140" spans="2:4" ht="19.95" customHeight="1">
      <c r="B140" s="10">
        <v>43480563</v>
      </c>
      <c r="C140" s="2">
        <v>4</v>
      </c>
      <c r="D140" s="33">
        <v>33.375</v>
      </c>
    </row>
    <row r="141" spans="2:4" ht="19.95" customHeight="1">
      <c r="B141" s="10">
        <v>36011719</v>
      </c>
      <c r="C141" s="2">
        <v>2</v>
      </c>
      <c r="D141" s="12">
        <v>11.52</v>
      </c>
    </row>
    <row r="142" spans="2:4" ht="19.95" customHeight="1">
      <c r="B142" s="10">
        <v>60663561</v>
      </c>
      <c r="C142" s="2">
        <v>1</v>
      </c>
      <c r="D142" s="33">
        <v>11.179</v>
      </c>
    </row>
    <row r="143" spans="2:4" ht="19.95" customHeight="1">
      <c r="B143" s="10">
        <v>94757439</v>
      </c>
      <c r="C143" s="2">
        <v>1</v>
      </c>
      <c r="D143" s="12">
        <v>4.78</v>
      </c>
    </row>
    <row r="144" spans="2:4" ht="19.95" customHeight="1">
      <c r="B144" s="10">
        <v>52065646</v>
      </c>
      <c r="C144" s="2">
        <v>3</v>
      </c>
      <c r="D144" s="12">
        <v>3.25</v>
      </c>
    </row>
    <row r="145" spans="2:5" ht="19.95" customHeight="1">
      <c r="B145" s="10">
        <v>62310876</v>
      </c>
      <c r="C145" s="2">
        <v>1</v>
      </c>
      <c r="D145" s="12">
        <v>1.0978000000000001</v>
      </c>
    </row>
    <row r="146" spans="2:5" ht="19.95" customHeight="1" thickBot="1">
      <c r="B146" s="13">
        <v>19383848</v>
      </c>
      <c r="C146" s="15">
        <v>1</v>
      </c>
      <c r="D146" s="34">
        <v>0.50700000000000001</v>
      </c>
    </row>
    <row r="149" spans="2:5" ht="19.95" customHeight="1" thickBot="1"/>
    <row r="150" spans="2:5" ht="19.95" customHeight="1">
      <c r="B150" s="35" t="s">
        <v>17</v>
      </c>
      <c r="C150" s="36" t="s">
        <v>7</v>
      </c>
      <c r="D150" s="36" t="s">
        <v>18</v>
      </c>
      <c r="E150" s="37" t="s">
        <v>19</v>
      </c>
    </row>
    <row r="151" spans="2:5" ht="19.95" customHeight="1">
      <c r="B151" s="29">
        <v>15221664</v>
      </c>
      <c r="C151" s="23">
        <v>1269750</v>
      </c>
      <c r="D151" s="23">
        <v>10232</v>
      </c>
      <c r="E151" s="30">
        <v>52.206000000000003</v>
      </c>
    </row>
    <row r="152" spans="2:5" ht="19.95" customHeight="1">
      <c r="B152" s="29">
        <v>15221664</v>
      </c>
      <c r="C152" s="23">
        <v>1643084</v>
      </c>
      <c r="D152" s="23">
        <v>10235</v>
      </c>
      <c r="E152" s="30">
        <v>7.5167999999999999</v>
      </c>
    </row>
    <row r="153" spans="2:5" ht="19.95" customHeight="1">
      <c r="B153" s="29">
        <v>19383848</v>
      </c>
      <c r="C153" s="23">
        <v>1269750</v>
      </c>
      <c r="D153" s="23">
        <v>10202</v>
      </c>
      <c r="E153" s="30">
        <v>0.50700000000000001</v>
      </c>
    </row>
    <row r="154" spans="2:5" ht="19.95" customHeight="1">
      <c r="B154" s="29">
        <v>19729577</v>
      </c>
      <c r="C154" s="23">
        <v>1269750</v>
      </c>
      <c r="D154" s="23">
        <v>10224</v>
      </c>
      <c r="E154" s="30">
        <v>64.48</v>
      </c>
    </row>
    <row r="155" spans="2:5" ht="19.95" customHeight="1">
      <c r="B155" s="29">
        <v>19729577</v>
      </c>
      <c r="C155" s="23">
        <v>1269750</v>
      </c>
      <c r="D155" s="23">
        <v>10169</v>
      </c>
      <c r="E155" s="30">
        <v>5.41</v>
      </c>
    </row>
    <row r="156" spans="2:5" ht="19.95" customHeight="1">
      <c r="B156" s="29">
        <v>19729577</v>
      </c>
      <c r="C156" s="23">
        <v>1269750</v>
      </c>
      <c r="D156" s="23">
        <v>10236</v>
      </c>
      <c r="E156" s="30">
        <v>3.96</v>
      </c>
    </row>
    <row r="157" spans="2:5" ht="19.95" customHeight="1">
      <c r="B157" s="29">
        <v>32359233</v>
      </c>
      <c r="C157" s="23">
        <v>1269750</v>
      </c>
      <c r="D157" s="23">
        <v>10176</v>
      </c>
      <c r="E157" s="30">
        <v>515.57000000000005</v>
      </c>
    </row>
    <row r="158" spans="2:5" ht="19.95" customHeight="1">
      <c r="B158" s="29">
        <v>32359233</v>
      </c>
      <c r="C158" s="23">
        <v>1269750</v>
      </c>
      <c r="D158" s="23">
        <v>10172</v>
      </c>
      <c r="E158" s="30">
        <v>454.5</v>
      </c>
    </row>
    <row r="159" spans="2:5" ht="19.95" customHeight="1">
      <c r="B159" s="29">
        <v>32359233</v>
      </c>
      <c r="C159" s="23">
        <v>1269750</v>
      </c>
      <c r="D159" s="23">
        <v>10170</v>
      </c>
      <c r="E159" s="30">
        <v>412.08</v>
      </c>
    </row>
    <row r="160" spans="2:5" ht="19.95" customHeight="1">
      <c r="B160" s="29">
        <v>32359233</v>
      </c>
      <c r="C160" s="23">
        <v>1269750</v>
      </c>
      <c r="D160" s="23">
        <v>10171</v>
      </c>
      <c r="E160" s="30">
        <v>377.4</v>
      </c>
    </row>
    <row r="161" spans="2:5" ht="19.95" customHeight="1">
      <c r="B161" s="29">
        <v>32359233</v>
      </c>
      <c r="C161" s="23">
        <v>1269750</v>
      </c>
      <c r="D161" s="23">
        <v>10173</v>
      </c>
      <c r="E161" s="30">
        <v>276.74</v>
      </c>
    </row>
    <row r="162" spans="2:5" ht="19.95" customHeight="1">
      <c r="B162" s="29">
        <v>32359233</v>
      </c>
      <c r="C162" s="23">
        <v>1269750</v>
      </c>
      <c r="D162" s="23">
        <v>10234</v>
      </c>
      <c r="E162" s="30">
        <v>148.24</v>
      </c>
    </row>
    <row r="163" spans="2:5" ht="19.95" customHeight="1">
      <c r="B163" s="29">
        <v>32359233</v>
      </c>
      <c r="C163" s="23">
        <v>1269750</v>
      </c>
      <c r="D163" s="23">
        <v>10188</v>
      </c>
      <c r="E163" s="30">
        <v>129.28</v>
      </c>
    </row>
    <row r="164" spans="2:5" ht="19.95" customHeight="1">
      <c r="B164" s="29">
        <v>32359233</v>
      </c>
      <c r="C164" s="23">
        <v>1269750</v>
      </c>
      <c r="D164" s="23">
        <v>10232</v>
      </c>
      <c r="E164" s="30">
        <v>127.736</v>
      </c>
    </row>
    <row r="165" spans="2:5" ht="19.95" customHeight="1">
      <c r="B165" s="29">
        <v>32359233</v>
      </c>
      <c r="C165" s="23">
        <v>1269750</v>
      </c>
      <c r="D165" s="23">
        <v>10174</v>
      </c>
      <c r="E165" s="30">
        <v>118.5</v>
      </c>
    </row>
    <row r="166" spans="2:5" ht="19.95" customHeight="1">
      <c r="B166" s="29">
        <v>32359233</v>
      </c>
      <c r="C166" s="23">
        <v>1269750</v>
      </c>
      <c r="D166" s="23">
        <v>10169</v>
      </c>
      <c r="E166" s="30">
        <v>97.38</v>
      </c>
    </row>
    <row r="167" spans="2:5" ht="19.95" customHeight="1">
      <c r="B167" s="29">
        <v>32359233</v>
      </c>
      <c r="C167" s="23">
        <v>1269750</v>
      </c>
      <c r="D167" s="23">
        <v>10224</v>
      </c>
      <c r="E167" s="30">
        <v>66.489999999999995</v>
      </c>
    </row>
    <row r="168" spans="2:5" ht="19.95" customHeight="1">
      <c r="B168" s="29">
        <v>32359233</v>
      </c>
      <c r="C168" s="23">
        <v>1269750</v>
      </c>
      <c r="D168" s="23">
        <v>10187</v>
      </c>
      <c r="E168" s="30">
        <v>44.44</v>
      </c>
    </row>
    <row r="169" spans="2:5" ht="19.95" customHeight="1">
      <c r="B169" s="29">
        <v>32359233</v>
      </c>
      <c r="C169" s="23">
        <v>1269750</v>
      </c>
      <c r="D169" s="23">
        <v>10168</v>
      </c>
      <c r="E169" s="30">
        <v>8.1199999999999992</v>
      </c>
    </row>
    <row r="170" spans="2:5" ht="19.95" customHeight="1">
      <c r="B170" s="29">
        <v>32359233</v>
      </c>
      <c r="C170" s="23">
        <v>1269750</v>
      </c>
      <c r="D170" s="23">
        <v>10178</v>
      </c>
      <c r="E170" s="30">
        <v>8.08</v>
      </c>
    </row>
    <row r="171" spans="2:5" ht="19.95" customHeight="1">
      <c r="B171" s="29">
        <v>32359233</v>
      </c>
      <c r="C171" s="23">
        <v>1269750</v>
      </c>
      <c r="D171" s="23">
        <v>10236</v>
      </c>
      <c r="E171" s="30">
        <v>0.72</v>
      </c>
    </row>
    <row r="172" spans="2:5" ht="19.95" customHeight="1">
      <c r="B172" s="29">
        <v>32359233</v>
      </c>
      <c r="C172" s="23">
        <v>1269750</v>
      </c>
      <c r="D172" s="23">
        <v>10227</v>
      </c>
      <c r="E172" s="30">
        <v>9.8000000000000004E-2</v>
      </c>
    </row>
    <row r="173" spans="2:5" ht="19.95" customHeight="1">
      <c r="B173" s="29">
        <v>32359233</v>
      </c>
      <c r="C173" s="23">
        <v>1269750</v>
      </c>
      <c r="D173" s="23">
        <v>10210</v>
      </c>
      <c r="E173" s="30">
        <v>5.1999999999999998E-2</v>
      </c>
    </row>
    <row r="174" spans="2:5" ht="19.95" customHeight="1">
      <c r="B174" s="29">
        <v>36011719</v>
      </c>
      <c r="C174" s="23">
        <v>1269750</v>
      </c>
      <c r="D174" s="23">
        <v>10224</v>
      </c>
      <c r="E174" s="30">
        <v>11.16</v>
      </c>
    </row>
    <row r="175" spans="2:5" ht="19.95" customHeight="1">
      <c r="B175" s="29">
        <v>36011719</v>
      </c>
      <c r="C175" s="23">
        <v>1269750</v>
      </c>
      <c r="D175" s="23">
        <v>10236</v>
      </c>
      <c r="E175" s="30">
        <v>0.36</v>
      </c>
    </row>
    <row r="176" spans="2:5" ht="19.95" customHeight="1">
      <c r="B176" s="29">
        <v>42017814</v>
      </c>
      <c r="C176" s="23">
        <v>1269750</v>
      </c>
      <c r="D176" s="23">
        <v>10172</v>
      </c>
      <c r="E176" s="30">
        <v>20.2</v>
      </c>
    </row>
    <row r="177" spans="2:5" ht="19.95" customHeight="1">
      <c r="B177" s="29">
        <v>42017814</v>
      </c>
      <c r="C177" s="23">
        <v>1269750</v>
      </c>
      <c r="D177" s="23">
        <v>10176</v>
      </c>
      <c r="E177" s="30">
        <v>14.19</v>
      </c>
    </row>
    <row r="178" spans="2:5" ht="19.95" customHeight="1">
      <c r="B178" s="29">
        <v>42017814</v>
      </c>
      <c r="C178" s="23">
        <v>1269750</v>
      </c>
      <c r="D178" s="23">
        <v>10173</v>
      </c>
      <c r="E178" s="30">
        <v>10.1</v>
      </c>
    </row>
    <row r="179" spans="2:5" ht="19.95" customHeight="1">
      <c r="B179" s="29">
        <v>42017814</v>
      </c>
      <c r="C179" s="23">
        <v>1269750</v>
      </c>
      <c r="D179" s="23">
        <v>10170</v>
      </c>
      <c r="E179" s="30">
        <v>8.08</v>
      </c>
    </row>
    <row r="180" spans="2:5" ht="19.95" customHeight="1">
      <c r="B180" s="29">
        <v>42017814</v>
      </c>
      <c r="C180" s="23">
        <v>1269750</v>
      </c>
      <c r="D180" s="23">
        <v>10171</v>
      </c>
      <c r="E180" s="30">
        <v>8.08</v>
      </c>
    </row>
    <row r="181" spans="2:5" ht="19.95" customHeight="1">
      <c r="B181" s="29">
        <v>42017814</v>
      </c>
      <c r="C181" s="23">
        <v>1269750</v>
      </c>
      <c r="D181" s="23">
        <v>10234</v>
      </c>
      <c r="E181" s="30">
        <v>4.76</v>
      </c>
    </row>
    <row r="182" spans="2:5" ht="19.95" customHeight="1">
      <c r="B182" s="29">
        <v>42017814</v>
      </c>
      <c r="C182" s="23">
        <v>1269750</v>
      </c>
      <c r="D182" s="23">
        <v>10224</v>
      </c>
      <c r="E182" s="30">
        <v>2.44</v>
      </c>
    </row>
    <row r="183" spans="2:5" ht="19.95" customHeight="1">
      <c r="B183" s="29">
        <v>42017814</v>
      </c>
      <c r="C183" s="23">
        <v>1269750</v>
      </c>
      <c r="D183" s="23">
        <v>10187</v>
      </c>
      <c r="E183" s="30">
        <v>2.02</v>
      </c>
    </row>
    <row r="184" spans="2:5" ht="19.95" customHeight="1">
      <c r="B184" s="29">
        <v>42017814</v>
      </c>
      <c r="C184" s="23">
        <v>1269750</v>
      </c>
      <c r="D184" s="23">
        <v>10167</v>
      </c>
      <c r="E184" s="30">
        <v>1.75</v>
      </c>
    </row>
    <row r="185" spans="2:5" ht="19.95" customHeight="1">
      <c r="B185" s="29">
        <v>43346372</v>
      </c>
      <c r="C185" s="23">
        <v>1269750</v>
      </c>
      <c r="D185" s="23">
        <v>10224</v>
      </c>
      <c r="E185" s="30">
        <v>463.6</v>
      </c>
    </row>
    <row r="186" spans="2:5" ht="19.95" customHeight="1">
      <c r="B186" s="29">
        <v>43346372</v>
      </c>
      <c r="C186" s="23">
        <v>1269750</v>
      </c>
      <c r="D186" s="23">
        <v>10236</v>
      </c>
      <c r="E186" s="30">
        <v>9.7200000000000006</v>
      </c>
    </row>
    <row r="187" spans="2:5" ht="19.95" customHeight="1">
      <c r="B187" s="29">
        <v>43346372</v>
      </c>
      <c r="C187" s="23">
        <v>1269750</v>
      </c>
      <c r="D187" s="23">
        <v>10168</v>
      </c>
      <c r="E187" s="30">
        <v>8.1199999999999992</v>
      </c>
    </row>
    <row r="188" spans="2:5" ht="19.95" customHeight="1">
      <c r="B188" s="29">
        <v>43346372</v>
      </c>
      <c r="C188" s="23">
        <v>1269750</v>
      </c>
      <c r="D188" s="23">
        <v>10187</v>
      </c>
      <c r="E188" s="30">
        <v>8.08</v>
      </c>
    </row>
    <row r="189" spans="2:5" ht="19.95" customHeight="1">
      <c r="B189" s="29">
        <v>43346372</v>
      </c>
      <c r="C189" s="23">
        <v>1269750</v>
      </c>
      <c r="D189" s="23">
        <v>10176</v>
      </c>
      <c r="E189" s="30">
        <v>4.7300000000000004</v>
      </c>
    </row>
    <row r="190" spans="2:5" ht="19.95" customHeight="1">
      <c r="B190" s="29">
        <v>43346372</v>
      </c>
      <c r="C190" s="23">
        <v>1269750</v>
      </c>
      <c r="D190" s="23">
        <v>10188</v>
      </c>
      <c r="E190" s="30">
        <v>2.02</v>
      </c>
    </row>
    <row r="191" spans="2:5" ht="19.95" customHeight="1">
      <c r="B191" s="29">
        <v>43480563</v>
      </c>
      <c r="C191" s="23">
        <v>1269750</v>
      </c>
      <c r="D191" s="23">
        <v>10232</v>
      </c>
      <c r="E191" s="30">
        <v>19.158999999999999</v>
      </c>
    </row>
    <row r="192" spans="2:5" ht="19.95" customHeight="1">
      <c r="B192" s="29">
        <v>43480563</v>
      </c>
      <c r="C192" s="23">
        <v>1269750</v>
      </c>
      <c r="D192" s="23">
        <v>10224</v>
      </c>
      <c r="E192" s="30">
        <v>14.03</v>
      </c>
    </row>
    <row r="193" spans="2:5" ht="19.95" customHeight="1">
      <c r="B193" s="29">
        <v>43480563</v>
      </c>
      <c r="C193" s="23">
        <v>1269750</v>
      </c>
      <c r="D193" s="23">
        <v>10231</v>
      </c>
      <c r="E193" s="30">
        <v>0.14699999999999999</v>
      </c>
    </row>
    <row r="194" spans="2:5" ht="19.95" customHeight="1">
      <c r="B194" s="29">
        <v>43480563</v>
      </c>
      <c r="C194" s="23">
        <v>1269750</v>
      </c>
      <c r="D194" s="23">
        <v>10210</v>
      </c>
      <c r="E194" s="30">
        <v>3.9E-2</v>
      </c>
    </row>
    <row r="195" spans="2:5" ht="19.95" customHeight="1">
      <c r="B195" s="29">
        <v>52065646</v>
      </c>
      <c r="C195" s="23">
        <v>1269750</v>
      </c>
      <c r="D195" s="23">
        <v>10224</v>
      </c>
      <c r="E195" s="30">
        <v>3.1</v>
      </c>
    </row>
    <row r="196" spans="2:5" ht="19.95" customHeight="1">
      <c r="B196" s="29">
        <v>52065646</v>
      </c>
      <c r="C196" s="23">
        <v>1269750</v>
      </c>
      <c r="D196" s="23">
        <v>10202</v>
      </c>
      <c r="E196" s="30">
        <v>0.14299999999999999</v>
      </c>
    </row>
    <row r="197" spans="2:5" ht="19.95" customHeight="1">
      <c r="B197" s="29">
        <v>52065646</v>
      </c>
      <c r="C197" s="23">
        <v>1269750</v>
      </c>
      <c r="D197" s="23">
        <v>10231</v>
      </c>
      <c r="E197" s="30">
        <v>7.0000000000000001E-3</v>
      </c>
    </row>
    <row r="198" spans="2:5" ht="19.95" customHeight="1">
      <c r="B198" s="29">
        <v>55107008</v>
      </c>
      <c r="C198" s="23">
        <v>1269750</v>
      </c>
      <c r="D198" s="25" t="s">
        <v>20</v>
      </c>
      <c r="E198" s="30">
        <v>270.02</v>
      </c>
    </row>
    <row r="199" spans="2:5" ht="19.95" customHeight="1">
      <c r="B199" s="29">
        <v>55107008</v>
      </c>
      <c r="C199" s="23">
        <v>1269750</v>
      </c>
      <c r="D199" s="23">
        <v>10176</v>
      </c>
      <c r="E199" s="30">
        <v>288.52999999999997</v>
      </c>
    </row>
    <row r="200" spans="2:5" ht="19.95" customHeight="1">
      <c r="B200" s="29">
        <v>55107008</v>
      </c>
      <c r="C200" s="23">
        <v>1269750</v>
      </c>
      <c r="D200" s="23">
        <v>10232</v>
      </c>
      <c r="E200" s="30">
        <v>212.57599999999999</v>
      </c>
    </row>
    <row r="201" spans="2:5" ht="19.95" customHeight="1">
      <c r="B201" s="29">
        <v>55107008</v>
      </c>
      <c r="C201" s="23">
        <v>1269750</v>
      </c>
      <c r="D201" s="23">
        <v>10236</v>
      </c>
      <c r="E201" s="30">
        <v>123.12</v>
      </c>
    </row>
    <row r="202" spans="2:5" ht="19.95" customHeight="1">
      <c r="B202" s="29">
        <v>55107008</v>
      </c>
      <c r="C202" s="23">
        <v>1269750</v>
      </c>
      <c r="D202" s="23">
        <v>10169</v>
      </c>
      <c r="E202" s="30">
        <v>75.739999999999995</v>
      </c>
    </row>
    <row r="203" spans="2:5" ht="19.95" customHeight="1">
      <c r="B203" s="29">
        <v>55107008</v>
      </c>
      <c r="C203" s="23">
        <v>1269750</v>
      </c>
      <c r="D203" s="23">
        <v>10227</v>
      </c>
      <c r="E203" s="30">
        <v>51.113999999999997</v>
      </c>
    </row>
    <row r="204" spans="2:5" ht="19.95" customHeight="1">
      <c r="B204" s="29">
        <v>55107008</v>
      </c>
      <c r="C204" s="23">
        <v>1269750</v>
      </c>
      <c r="D204" s="23">
        <v>10168</v>
      </c>
      <c r="E204" s="30">
        <v>48.72</v>
      </c>
    </row>
    <row r="205" spans="2:5" ht="19.95" customHeight="1">
      <c r="B205" s="29">
        <v>55107008</v>
      </c>
      <c r="C205" s="23">
        <v>1269750</v>
      </c>
      <c r="D205" s="23">
        <v>10234</v>
      </c>
      <c r="E205" s="30">
        <v>47.6</v>
      </c>
    </row>
    <row r="206" spans="2:5" ht="19.95" customHeight="1">
      <c r="B206" s="29">
        <v>55107008</v>
      </c>
      <c r="C206" s="23">
        <v>1269750</v>
      </c>
      <c r="D206" s="23">
        <v>10174</v>
      </c>
      <c r="E206" s="30">
        <v>37.92</v>
      </c>
    </row>
    <row r="207" spans="2:5" ht="19.95" customHeight="1">
      <c r="B207" s="29">
        <v>55107008</v>
      </c>
      <c r="C207" s="23">
        <v>1269750</v>
      </c>
      <c r="D207" s="23">
        <v>10170</v>
      </c>
      <c r="E207" s="30">
        <v>32.32</v>
      </c>
    </row>
    <row r="208" spans="2:5" ht="19.95" customHeight="1">
      <c r="B208" s="29">
        <v>55107008</v>
      </c>
      <c r="C208" s="23">
        <v>1269750</v>
      </c>
      <c r="D208" s="23">
        <v>10172</v>
      </c>
      <c r="E208" s="30">
        <v>30.3</v>
      </c>
    </row>
    <row r="209" spans="2:5" ht="19.95" customHeight="1">
      <c r="B209" s="29">
        <v>55107008</v>
      </c>
      <c r="C209" s="23">
        <v>1269750</v>
      </c>
      <c r="D209" s="23">
        <v>10167</v>
      </c>
      <c r="E209" s="30">
        <v>24.5</v>
      </c>
    </row>
    <row r="210" spans="2:5" ht="19.95" customHeight="1">
      <c r="B210" s="29">
        <v>55107008</v>
      </c>
      <c r="C210" s="23">
        <v>1269750</v>
      </c>
      <c r="D210" s="23">
        <v>10173</v>
      </c>
      <c r="E210" s="30">
        <v>10.1</v>
      </c>
    </row>
    <row r="211" spans="2:5" ht="19.95" customHeight="1">
      <c r="B211" s="29">
        <v>55107008</v>
      </c>
      <c r="C211" s="23">
        <v>1269750</v>
      </c>
      <c r="D211" s="23">
        <v>10187</v>
      </c>
      <c r="E211" s="30">
        <v>10.1</v>
      </c>
    </row>
    <row r="212" spans="2:5" ht="19.95" customHeight="1">
      <c r="B212" s="29">
        <v>55107008</v>
      </c>
      <c r="C212" s="23">
        <v>1269750</v>
      </c>
      <c r="D212" s="23">
        <v>10188</v>
      </c>
      <c r="E212" s="30">
        <v>10.1</v>
      </c>
    </row>
    <row r="213" spans="2:5" ht="19.95" customHeight="1">
      <c r="B213" s="29">
        <v>55107008</v>
      </c>
      <c r="C213" s="23">
        <v>1269750</v>
      </c>
      <c r="D213" s="23">
        <v>10171</v>
      </c>
      <c r="E213" s="30">
        <v>2.04</v>
      </c>
    </row>
    <row r="214" spans="2:5" ht="19.95" customHeight="1">
      <c r="B214" s="29">
        <v>55107008</v>
      </c>
      <c r="C214" s="23">
        <v>1269750</v>
      </c>
      <c r="D214" s="23">
        <v>10178</v>
      </c>
      <c r="E214" s="30">
        <v>2.02</v>
      </c>
    </row>
    <row r="215" spans="2:5" ht="19.95" customHeight="1">
      <c r="B215" s="29">
        <v>55107008</v>
      </c>
      <c r="C215" s="23">
        <v>1269750</v>
      </c>
      <c r="D215" s="23">
        <v>10231</v>
      </c>
      <c r="E215" s="30">
        <v>0.46200000000000002</v>
      </c>
    </row>
    <row r="216" spans="2:5" ht="19.95" customHeight="1">
      <c r="B216" s="29">
        <v>60663561</v>
      </c>
      <c r="C216" s="23">
        <v>1269750</v>
      </c>
      <c r="D216" s="23">
        <v>10232</v>
      </c>
      <c r="E216" s="30">
        <v>11.179</v>
      </c>
    </row>
    <row r="217" spans="2:5" ht="19.95" customHeight="1">
      <c r="B217" s="29">
        <v>62310876</v>
      </c>
      <c r="C217" s="23">
        <v>1643084</v>
      </c>
      <c r="D217" s="23">
        <v>10235</v>
      </c>
      <c r="E217" s="30">
        <v>1.0978000000000001</v>
      </c>
    </row>
    <row r="218" spans="2:5" ht="19.95" customHeight="1">
      <c r="B218" s="29">
        <v>80715286</v>
      </c>
      <c r="C218" s="23">
        <v>1269750</v>
      </c>
      <c r="D218" s="23">
        <v>10170</v>
      </c>
      <c r="E218" s="30">
        <v>68.680000000000007</v>
      </c>
    </row>
    <row r="219" spans="2:5" ht="19.95" customHeight="1">
      <c r="B219" s="29">
        <v>80715286</v>
      </c>
      <c r="C219" s="23">
        <v>1269750</v>
      </c>
      <c r="D219" s="23">
        <v>10172</v>
      </c>
      <c r="E219" s="30">
        <v>52.52</v>
      </c>
    </row>
    <row r="220" spans="2:5" ht="19.95" customHeight="1">
      <c r="B220" s="29">
        <v>80715286</v>
      </c>
      <c r="C220" s="23">
        <v>1269750</v>
      </c>
      <c r="D220" s="23">
        <v>10173</v>
      </c>
      <c r="E220" s="30">
        <v>44.44</v>
      </c>
    </row>
    <row r="221" spans="2:5" ht="19.95" customHeight="1">
      <c r="B221" s="29">
        <v>80715286</v>
      </c>
      <c r="C221" s="23">
        <v>1269750</v>
      </c>
      <c r="D221" s="23">
        <v>10176</v>
      </c>
      <c r="E221" s="30">
        <v>37.840000000000003</v>
      </c>
    </row>
    <row r="222" spans="2:5" ht="19.95" customHeight="1">
      <c r="B222" s="29">
        <v>80715286</v>
      </c>
      <c r="C222" s="23">
        <v>1269750</v>
      </c>
      <c r="D222" s="23">
        <v>10169</v>
      </c>
      <c r="E222" s="30">
        <v>32.46</v>
      </c>
    </row>
    <row r="223" spans="2:5" ht="19.95" customHeight="1">
      <c r="B223" s="29">
        <v>80715286</v>
      </c>
      <c r="C223" s="23">
        <v>1269750</v>
      </c>
      <c r="D223" s="23">
        <v>10171</v>
      </c>
      <c r="E223" s="30">
        <v>24.34</v>
      </c>
    </row>
    <row r="224" spans="2:5" ht="19.95" customHeight="1">
      <c r="B224" s="29">
        <v>80715286</v>
      </c>
      <c r="C224" s="23">
        <v>1269750</v>
      </c>
      <c r="D224" s="23">
        <v>10232</v>
      </c>
      <c r="E224" s="30">
        <v>18.914000000000001</v>
      </c>
    </row>
    <row r="225" spans="2:5" ht="19.95" customHeight="1">
      <c r="B225" s="29">
        <v>80715286</v>
      </c>
      <c r="C225" s="23">
        <v>1269750</v>
      </c>
      <c r="D225" s="23">
        <v>10188</v>
      </c>
      <c r="E225" s="30">
        <v>6.06</v>
      </c>
    </row>
    <row r="226" spans="2:5" ht="19.95" customHeight="1">
      <c r="B226" s="29">
        <v>80715286</v>
      </c>
      <c r="C226" s="23">
        <v>1269750</v>
      </c>
      <c r="D226" s="23">
        <v>10174</v>
      </c>
      <c r="E226" s="30">
        <v>4.74</v>
      </c>
    </row>
    <row r="227" spans="2:5" ht="19.95" customHeight="1">
      <c r="B227" s="29">
        <v>80715286</v>
      </c>
      <c r="C227" s="23">
        <v>1269750</v>
      </c>
      <c r="D227" s="23">
        <v>10167</v>
      </c>
      <c r="E227" s="30">
        <v>4.2</v>
      </c>
    </row>
    <row r="228" spans="2:5" ht="19.95" customHeight="1">
      <c r="B228" s="29">
        <v>80715286</v>
      </c>
      <c r="C228" s="23">
        <v>1269750</v>
      </c>
      <c r="D228" s="23">
        <v>10187</v>
      </c>
      <c r="E228" s="30">
        <v>4.04</v>
      </c>
    </row>
    <row r="229" spans="2:5" ht="19.95" customHeight="1" thickBot="1">
      <c r="B229" s="31">
        <v>94757439</v>
      </c>
      <c r="C229" s="38">
        <v>1269750</v>
      </c>
      <c r="D229" s="38">
        <v>10176</v>
      </c>
      <c r="E229" s="39">
        <v>4.78</v>
      </c>
    </row>
  </sheetData>
  <mergeCells count="1">
    <mergeCell ref="A1:I1"/>
  </mergeCells>
  <pageMargins left="0.5" right="0.5" top="0.75" bottom="0.75" header="0.27777800000000002" footer="0.27777800000000002"/>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35BFE-2F5E-46F8-AA6B-0B5E044B442B}">
  <dimension ref="A1:S256"/>
  <sheetViews>
    <sheetView showGridLines="0" tabSelected="1" topLeftCell="A220" workbookViewId="0">
      <selection activeCell="O195" sqref="O195"/>
    </sheetView>
  </sheetViews>
  <sheetFormatPr defaultRowHeight="13.2"/>
  <cols>
    <col min="7" max="7" width="17" customWidth="1"/>
    <col min="8" max="8" width="15.5546875" customWidth="1"/>
    <col min="12" max="12" width="12.6640625" bestFit="1" customWidth="1"/>
  </cols>
  <sheetData>
    <row r="1" spans="1:4" ht="13.8" thickBot="1"/>
    <row r="2" spans="1:4" ht="13.8" thickBot="1">
      <c r="A2" s="40" t="s">
        <v>23</v>
      </c>
      <c r="B2" s="41"/>
      <c r="C2" s="41"/>
      <c r="D2" s="42"/>
    </row>
    <row r="3" spans="1:4" ht="13.8" thickBot="1"/>
    <row r="4" spans="1:4" ht="13.8" thickBot="1">
      <c r="B4" s="150" t="s">
        <v>21</v>
      </c>
      <c r="C4" s="43" t="s">
        <v>22</v>
      </c>
    </row>
    <row r="5" spans="1:4">
      <c r="B5" s="47">
        <v>32359233</v>
      </c>
      <c r="C5" s="44">
        <v>2785.4259999999999</v>
      </c>
    </row>
    <row r="6" spans="1:4">
      <c r="B6" s="48">
        <v>55107008</v>
      </c>
      <c r="C6" s="45">
        <v>2277.2820000000002</v>
      </c>
    </row>
    <row r="7" spans="1:4">
      <c r="B7" s="48">
        <v>43346372</v>
      </c>
      <c r="C7" s="46">
        <v>496.27</v>
      </c>
    </row>
    <row r="8" spans="1:4">
      <c r="B8" s="48">
        <v>80715286</v>
      </c>
      <c r="C8" s="45">
        <v>298.23399999999998</v>
      </c>
    </row>
    <row r="9" spans="1:4">
      <c r="B9" s="48">
        <v>19729577</v>
      </c>
      <c r="C9" s="46">
        <v>73.849999999999994</v>
      </c>
    </row>
    <row r="10" spans="1:4">
      <c r="B10" s="48">
        <v>42017814</v>
      </c>
      <c r="C10" s="46">
        <v>71.62</v>
      </c>
    </row>
    <row r="11" spans="1:4">
      <c r="B11" s="48">
        <v>15221664</v>
      </c>
      <c r="C11" s="46">
        <v>59.722799999999999</v>
      </c>
    </row>
    <row r="12" spans="1:4">
      <c r="B12" s="48">
        <v>43480563</v>
      </c>
      <c r="C12" s="45">
        <v>33.375</v>
      </c>
    </row>
    <row r="13" spans="1:4">
      <c r="B13" s="155">
        <v>36011719</v>
      </c>
      <c r="C13" s="156">
        <v>11.52</v>
      </c>
    </row>
    <row r="14" spans="1:4">
      <c r="B14" s="155">
        <v>60663561</v>
      </c>
      <c r="C14" s="157">
        <v>11.179</v>
      </c>
    </row>
    <row r="15" spans="1:4">
      <c r="B15" s="151">
        <v>94757439</v>
      </c>
      <c r="C15" s="152">
        <v>4.78</v>
      </c>
    </row>
    <row r="16" spans="1:4">
      <c r="B16" s="151">
        <v>52065646</v>
      </c>
      <c r="C16" s="152">
        <v>3.25</v>
      </c>
    </row>
    <row r="17" spans="1:6">
      <c r="B17" s="155">
        <v>62310876</v>
      </c>
      <c r="C17" s="156">
        <v>1.0978000000000001</v>
      </c>
    </row>
    <row r="18" spans="1:6" ht="13.8" thickBot="1">
      <c r="B18" s="153">
        <v>19383848</v>
      </c>
      <c r="C18" s="154">
        <v>0.50700000000000001</v>
      </c>
    </row>
    <row r="19" spans="1:6" ht="13.8" thickBot="1"/>
    <row r="20" spans="1:6" ht="13.8" customHeight="1" thickBot="1">
      <c r="A20" s="40" t="s">
        <v>25</v>
      </c>
      <c r="B20" s="41"/>
      <c r="C20" s="41"/>
      <c r="D20" s="41"/>
      <c r="E20" s="41"/>
      <c r="F20" s="42"/>
    </row>
    <row r="21" spans="1:6" ht="13.8" thickBot="1"/>
    <row r="22" spans="1:6" ht="40.200000000000003" thickBot="1">
      <c r="B22" s="56" t="s">
        <v>21</v>
      </c>
      <c r="C22" s="56" t="s">
        <v>24</v>
      </c>
      <c r="D22" s="57" t="s">
        <v>22</v>
      </c>
    </row>
    <row r="23" spans="1:6">
      <c r="B23" s="49">
        <v>32359233</v>
      </c>
      <c r="C23" s="54">
        <v>17</v>
      </c>
      <c r="D23" s="51">
        <v>2785.4259999999999</v>
      </c>
    </row>
    <row r="24" spans="1:6">
      <c r="B24" s="50">
        <v>55107008</v>
      </c>
      <c r="C24" s="55">
        <v>18</v>
      </c>
      <c r="D24" s="52">
        <v>2277.2820000000002</v>
      </c>
    </row>
    <row r="25" spans="1:6">
      <c r="B25" s="50">
        <v>43346372</v>
      </c>
      <c r="C25" s="55">
        <v>6</v>
      </c>
      <c r="D25" s="53">
        <v>496.27</v>
      </c>
    </row>
    <row r="26" spans="1:6">
      <c r="B26" s="50">
        <v>80715286</v>
      </c>
      <c r="C26" s="55">
        <v>11</v>
      </c>
      <c r="D26" s="52">
        <v>298.23399999999998</v>
      </c>
    </row>
    <row r="27" spans="1:6">
      <c r="B27" s="50">
        <v>19729577</v>
      </c>
      <c r="C27" s="55">
        <v>3</v>
      </c>
      <c r="D27" s="53">
        <v>73.849999999999994</v>
      </c>
    </row>
    <row r="28" spans="1:6">
      <c r="B28" s="50">
        <v>42017814</v>
      </c>
      <c r="C28" s="55">
        <v>9</v>
      </c>
      <c r="D28" s="53">
        <v>71.62</v>
      </c>
    </row>
    <row r="29" spans="1:6">
      <c r="B29" s="50">
        <v>15221664</v>
      </c>
      <c r="C29" s="55">
        <v>2</v>
      </c>
      <c r="D29" s="53">
        <v>59.722799999999999</v>
      </c>
    </row>
    <row r="30" spans="1:6">
      <c r="B30" s="50">
        <v>43480563</v>
      </c>
      <c r="C30" s="55">
        <v>4</v>
      </c>
      <c r="D30" s="52">
        <v>33.375</v>
      </c>
    </row>
    <row r="31" spans="1:6">
      <c r="B31" s="158">
        <v>36011719</v>
      </c>
      <c r="C31" s="159">
        <v>2</v>
      </c>
      <c r="D31" s="160">
        <v>11.52</v>
      </c>
    </row>
    <row r="32" spans="1:6">
      <c r="B32" s="158">
        <v>60663561</v>
      </c>
      <c r="C32" s="159">
        <v>1</v>
      </c>
      <c r="D32" s="161">
        <v>11.179</v>
      </c>
    </row>
    <row r="33" spans="1:7">
      <c r="B33" s="132">
        <v>94757439</v>
      </c>
      <c r="C33" s="133">
        <v>1</v>
      </c>
      <c r="D33" s="134">
        <v>4.78</v>
      </c>
    </row>
    <row r="34" spans="1:7">
      <c r="B34" s="132">
        <v>52065646</v>
      </c>
      <c r="C34" s="133">
        <v>3</v>
      </c>
      <c r="D34" s="134">
        <v>3.25</v>
      </c>
    </row>
    <row r="35" spans="1:7">
      <c r="B35" s="158">
        <v>62310876</v>
      </c>
      <c r="C35" s="159">
        <v>1</v>
      </c>
      <c r="D35" s="160">
        <v>1.0978000000000001</v>
      </c>
    </row>
    <row r="36" spans="1:7" ht="13.8" thickBot="1">
      <c r="B36" s="129">
        <v>19383848</v>
      </c>
      <c r="C36" s="130">
        <v>1</v>
      </c>
      <c r="D36" s="131">
        <v>0.50700000000000001</v>
      </c>
    </row>
    <row r="37" spans="1:7" ht="13.8" thickBot="1"/>
    <row r="38" spans="1:7" ht="13.2" customHeight="1" thickBot="1">
      <c r="A38" s="40" t="s">
        <v>26</v>
      </c>
      <c r="B38" s="41"/>
      <c r="C38" s="41"/>
      <c r="D38" s="41"/>
      <c r="E38" s="41"/>
      <c r="F38" s="42"/>
      <c r="G38" s="21"/>
    </row>
    <row r="39" spans="1:7" ht="13.8" thickBot="1"/>
    <row r="40" spans="1:7" ht="27" thickBot="1">
      <c r="B40" s="70" t="s">
        <v>17</v>
      </c>
      <c r="C40" s="70" t="s">
        <v>7</v>
      </c>
      <c r="D40" s="71" t="s">
        <v>18</v>
      </c>
      <c r="E40" s="70" t="s">
        <v>19</v>
      </c>
    </row>
    <row r="41" spans="1:7">
      <c r="B41" s="60">
        <v>15221664</v>
      </c>
      <c r="C41" s="60">
        <v>1269750</v>
      </c>
      <c r="D41" s="63">
        <v>10232</v>
      </c>
      <c r="E41" s="67">
        <v>52.206000000000003</v>
      </c>
    </row>
    <row r="42" spans="1:7">
      <c r="B42" s="61">
        <v>15221664</v>
      </c>
      <c r="C42" s="61">
        <v>1643084</v>
      </c>
      <c r="D42" s="64">
        <v>10235</v>
      </c>
      <c r="E42" s="68">
        <v>7.5167999999999999</v>
      </c>
    </row>
    <row r="43" spans="1:7">
      <c r="B43" s="61">
        <v>19383848</v>
      </c>
      <c r="C43" s="61">
        <v>1269750</v>
      </c>
      <c r="D43" s="64">
        <v>10202</v>
      </c>
      <c r="E43" s="68">
        <v>0.50700000000000001</v>
      </c>
    </row>
    <row r="44" spans="1:7">
      <c r="B44" s="61">
        <v>19729577</v>
      </c>
      <c r="C44" s="61">
        <v>1269750</v>
      </c>
      <c r="D44" s="64">
        <v>10224</v>
      </c>
      <c r="E44" s="68">
        <v>64.48</v>
      </c>
    </row>
    <row r="45" spans="1:7">
      <c r="B45" s="61">
        <v>19729577</v>
      </c>
      <c r="C45" s="61">
        <v>1269750</v>
      </c>
      <c r="D45" s="64">
        <v>10169</v>
      </c>
      <c r="E45" s="68">
        <v>5.41</v>
      </c>
    </row>
    <row r="46" spans="1:7">
      <c r="B46" s="61">
        <v>19729577</v>
      </c>
      <c r="C46" s="61">
        <v>1269750</v>
      </c>
      <c r="D46" s="64">
        <v>10236</v>
      </c>
      <c r="E46" s="68">
        <v>3.96</v>
      </c>
    </row>
    <row r="47" spans="1:7">
      <c r="B47" s="61">
        <v>32359233</v>
      </c>
      <c r="C47" s="61">
        <v>1269750</v>
      </c>
      <c r="D47" s="64">
        <v>10176</v>
      </c>
      <c r="E47" s="68">
        <v>515.57000000000005</v>
      </c>
    </row>
    <row r="48" spans="1:7">
      <c r="B48" s="61">
        <v>32359233</v>
      </c>
      <c r="C48" s="61">
        <v>1269750</v>
      </c>
      <c r="D48" s="64">
        <v>10172</v>
      </c>
      <c r="E48" s="68">
        <v>454.5</v>
      </c>
    </row>
    <row r="49" spans="2:5">
      <c r="B49" s="61">
        <v>32359233</v>
      </c>
      <c r="C49" s="61">
        <v>1269750</v>
      </c>
      <c r="D49" s="64">
        <v>10170</v>
      </c>
      <c r="E49" s="68">
        <v>412.08</v>
      </c>
    </row>
    <row r="50" spans="2:5">
      <c r="B50" s="61">
        <v>32359233</v>
      </c>
      <c r="C50" s="61">
        <v>1269750</v>
      </c>
      <c r="D50" s="64">
        <v>10171</v>
      </c>
      <c r="E50" s="68">
        <v>377.4</v>
      </c>
    </row>
    <row r="51" spans="2:5">
      <c r="B51" s="61">
        <v>32359233</v>
      </c>
      <c r="C51" s="61">
        <v>1269750</v>
      </c>
      <c r="D51" s="64">
        <v>10173</v>
      </c>
      <c r="E51" s="68">
        <v>276.74</v>
      </c>
    </row>
    <row r="52" spans="2:5">
      <c r="B52" s="61">
        <v>32359233</v>
      </c>
      <c r="C52" s="61">
        <v>1269750</v>
      </c>
      <c r="D52" s="64">
        <v>10234</v>
      </c>
      <c r="E52" s="68">
        <v>148.24</v>
      </c>
    </row>
    <row r="53" spans="2:5">
      <c r="B53" s="61">
        <v>32359233</v>
      </c>
      <c r="C53" s="61">
        <v>1269750</v>
      </c>
      <c r="D53" s="64">
        <v>10188</v>
      </c>
      <c r="E53" s="68">
        <v>129.28</v>
      </c>
    </row>
    <row r="54" spans="2:5">
      <c r="B54" s="61">
        <v>32359233</v>
      </c>
      <c r="C54" s="61">
        <v>1269750</v>
      </c>
      <c r="D54" s="64">
        <v>10232</v>
      </c>
      <c r="E54" s="68">
        <v>127.736</v>
      </c>
    </row>
    <row r="55" spans="2:5">
      <c r="B55" s="61">
        <v>32359233</v>
      </c>
      <c r="C55" s="61">
        <v>1269750</v>
      </c>
      <c r="D55" s="64">
        <v>10174</v>
      </c>
      <c r="E55" s="68">
        <v>118.5</v>
      </c>
    </row>
    <row r="56" spans="2:5">
      <c r="B56" s="61">
        <v>32359233</v>
      </c>
      <c r="C56" s="61">
        <v>1269750</v>
      </c>
      <c r="D56" s="64">
        <v>10169</v>
      </c>
      <c r="E56" s="68">
        <v>97.38</v>
      </c>
    </row>
    <row r="57" spans="2:5">
      <c r="B57" s="61">
        <v>32359233</v>
      </c>
      <c r="C57" s="61">
        <v>1269750</v>
      </c>
      <c r="D57" s="64">
        <v>10224</v>
      </c>
      <c r="E57" s="68">
        <v>66.489999999999995</v>
      </c>
    </row>
    <row r="58" spans="2:5">
      <c r="B58" s="61">
        <v>32359233</v>
      </c>
      <c r="C58" s="61">
        <v>1269750</v>
      </c>
      <c r="D58" s="64">
        <v>10187</v>
      </c>
      <c r="E58" s="68">
        <v>44.44</v>
      </c>
    </row>
    <row r="59" spans="2:5">
      <c r="B59" s="61">
        <v>32359233</v>
      </c>
      <c r="C59" s="61">
        <v>1269750</v>
      </c>
      <c r="D59" s="64">
        <v>10168</v>
      </c>
      <c r="E59" s="68">
        <v>8.1199999999999992</v>
      </c>
    </row>
    <row r="60" spans="2:5">
      <c r="B60" s="61">
        <v>32359233</v>
      </c>
      <c r="C60" s="61">
        <v>1269750</v>
      </c>
      <c r="D60" s="64">
        <v>10178</v>
      </c>
      <c r="E60" s="68">
        <v>8.08</v>
      </c>
    </row>
    <row r="61" spans="2:5">
      <c r="B61" s="61">
        <v>32359233</v>
      </c>
      <c r="C61" s="61">
        <v>1269750</v>
      </c>
      <c r="D61" s="64">
        <v>10236</v>
      </c>
      <c r="E61" s="68">
        <v>0.72</v>
      </c>
    </row>
    <row r="62" spans="2:5">
      <c r="B62" s="61">
        <v>32359233</v>
      </c>
      <c r="C62" s="61">
        <v>1269750</v>
      </c>
      <c r="D62" s="64">
        <v>10227</v>
      </c>
      <c r="E62" s="68">
        <v>9.8000000000000004E-2</v>
      </c>
    </row>
    <row r="63" spans="2:5">
      <c r="B63" s="61">
        <v>32359233</v>
      </c>
      <c r="C63" s="61">
        <v>1269750</v>
      </c>
      <c r="D63" s="64">
        <v>10210</v>
      </c>
      <c r="E63" s="68">
        <v>5.1999999999999998E-2</v>
      </c>
    </row>
    <row r="64" spans="2:5">
      <c r="B64" s="61">
        <v>36011719</v>
      </c>
      <c r="C64" s="61">
        <v>1269750</v>
      </c>
      <c r="D64" s="64">
        <v>10224</v>
      </c>
      <c r="E64" s="68">
        <v>11.16</v>
      </c>
    </row>
    <row r="65" spans="2:5">
      <c r="B65" s="61">
        <v>36011719</v>
      </c>
      <c r="C65" s="61">
        <v>1269750</v>
      </c>
      <c r="D65" s="64">
        <v>10236</v>
      </c>
      <c r="E65" s="68">
        <v>0.36</v>
      </c>
    </row>
    <row r="66" spans="2:5">
      <c r="B66" s="61">
        <v>42017814</v>
      </c>
      <c r="C66" s="61">
        <v>1269750</v>
      </c>
      <c r="D66" s="64">
        <v>10172</v>
      </c>
      <c r="E66" s="68">
        <v>20.2</v>
      </c>
    </row>
    <row r="67" spans="2:5">
      <c r="B67" s="61">
        <v>42017814</v>
      </c>
      <c r="C67" s="61">
        <v>1269750</v>
      </c>
      <c r="D67" s="64">
        <v>10176</v>
      </c>
      <c r="E67" s="68">
        <v>14.19</v>
      </c>
    </row>
    <row r="68" spans="2:5">
      <c r="B68" s="61">
        <v>42017814</v>
      </c>
      <c r="C68" s="61">
        <v>1269750</v>
      </c>
      <c r="D68" s="64">
        <v>10173</v>
      </c>
      <c r="E68" s="68">
        <v>10.1</v>
      </c>
    </row>
    <row r="69" spans="2:5">
      <c r="B69" s="61">
        <v>42017814</v>
      </c>
      <c r="C69" s="61">
        <v>1269750</v>
      </c>
      <c r="D69" s="64">
        <v>10170</v>
      </c>
      <c r="E69" s="68">
        <v>8.08</v>
      </c>
    </row>
    <row r="70" spans="2:5">
      <c r="B70" s="61">
        <v>42017814</v>
      </c>
      <c r="C70" s="61">
        <v>1269750</v>
      </c>
      <c r="D70" s="64">
        <v>10171</v>
      </c>
      <c r="E70" s="68">
        <v>8.08</v>
      </c>
    </row>
    <row r="71" spans="2:5">
      <c r="B71" s="61">
        <v>42017814</v>
      </c>
      <c r="C71" s="61">
        <v>1269750</v>
      </c>
      <c r="D71" s="64">
        <v>10234</v>
      </c>
      <c r="E71" s="68">
        <v>4.76</v>
      </c>
    </row>
    <row r="72" spans="2:5">
      <c r="B72" s="61">
        <v>42017814</v>
      </c>
      <c r="C72" s="61">
        <v>1269750</v>
      </c>
      <c r="D72" s="64">
        <v>10224</v>
      </c>
      <c r="E72" s="68">
        <v>2.44</v>
      </c>
    </row>
    <row r="73" spans="2:5">
      <c r="B73" s="61">
        <v>42017814</v>
      </c>
      <c r="C73" s="61">
        <v>1269750</v>
      </c>
      <c r="D73" s="64">
        <v>10187</v>
      </c>
      <c r="E73" s="68">
        <v>2.02</v>
      </c>
    </row>
    <row r="74" spans="2:5">
      <c r="B74" s="61">
        <v>42017814</v>
      </c>
      <c r="C74" s="61">
        <v>1269750</v>
      </c>
      <c r="D74" s="64">
        <v>10167</v>
      </c>
      <c r="E74" s="68">
        <v>1.75</v>
      </c>
    </row>
    <row r="75" spans="2:5">
      <c r="B75" s="61">
        <v>43346372</v>
      </c>
      <c r="C75" s="61">
        <v>1269750</v>
      </c>
      <c r="D75" s="64">
        <v>10224</v>
      </c>
      <c r="E75" s="68">
        <v>463.6</v>
      </c>
    </row>
    <row r="76" spans="2:5">
      <c r="B76" s="61">
        <v>43346372</v>
      </c>
      <c r="C76" s="61">
        <v>1269750</v>
      </c>
      <c r="D76" s="64">
        <v>10236</v>
      </c>
      <c r="E76" s="68">
        <v>9.7200000000000006</v>
      </c>
    </row>
    <row r="77" spans="2:5">
      <c r="B77" s="61">
        <v>43346372</v>
      </c>
      <c r="C77" s="61">
        <v>1269750</v>
      </c>
      <c r="D77" s="64">
        <v>10168</v>
      </c>
      <c r="E77" s="68">
        <v>8.1199999999999992</v>
      </c>
    </row>
    <row r="78" spans="2:5">
      <c r="B78" s="61">
        <v>43346372</v>
      </c>
      <c r="C78" s="61">
        <v>1269750</v>
      </c>
      <c r="D78" s="64">
        <v>10187</v>
      </c>
      <c r="E78" s="68">
        <v>8.08</v>
      </c>
    </row>
    <row r="79" spans="2:5">
      <c r="B79" s="61">
        <v>43346372</v>
      </c>
      <c r="C79" s="61">
        <v>1269750</v>
      </c>
      <c r="D79" s="64">
        <v>10176</v>
      </c>
      <c r="E79" s="68">
        <v>4.7300000000000004</v>
      </c>
    </row>
    <row r="80" spans="2:5">
      <c r="B80" s="61">
        <v>43346372</v>
      </c>
      <c r="C80" s="61">
        <v>1269750</v>
      </c>
      <c r="D80" s="64">
        <v>10188</v>
      </c>
      <c r="E80" s="68">
        <v>2.02</v>
      </c>
    </row>
    <row r="81" spans="2:5">
      <c r="B81" s="61">
        <v>43480563</v>
      </c>
      <c r="C81" s="61">
        <v>1269750</v>
      </c>
      <c r="D81" s="64">
        <v>10232</v>
      </c>
      <c r="E81" s="68">
        <v>19.158999999999999</v>
      </c>
    </row>
    <row r="82" spans="2:5">
      <c r="B82" s="61">
        <v>43480563</v>
      </c>
      <c r="C82" s="61">
        <v>1269750</v>
      </c>
      <c r="D82" s="64">
        <v>10224</v>
      </c>
      <c r="E82" s="68">
        <v>14.03</v>
      </c>
    </row>
    <row r="83" spans="2:5">
      <c r="B83" s="61">
        <v>43480563</v>
      </c>
      <c r="C83" s="61">
        <v>1269750</v>
      </c>
      <c r="D83" s="64">
        <v>10231</v>
      </c>
      <c r="E83" s="68">
        <v>0.14699999999999999</v>
      </c>
    </row>
    <row r="84" spans="2:5">
      <c r="B84" s="61">
        <v>43480563</v>
      </c>
      <c r="C84" s="61">
        <v>1269750</v>
      </c>
      <c r="D84" s="64">
        <v>10210</v>
      </c>
      <c r="E84" s="68">
        <v>3.9E-2</v>
      </c>
    </row>
    <row r="85" spans="2:5">
      <c r="B85" s="61">
        <v>52065646</v>
      </c>
      <c r="C85" s="61">
        <v>1269750</v>
      </c>
      <c r="D85" s="64">
        <v>10224</v>
      </c>
      <c r="E85" s="68">
        <v>3.1</v>
      </c>
    </row>
    <row r="86" spans="2:5">
      <c r="B86" s="61">
        <v>52065646</v>
      </c>
      <c r="C86" s="61">
        <v>1269750</v>
      </c>
      <c r="D86" s="64">
        <v>10202</v>
      </c>
      <c r="E86" s="68">
        <v>0.14299999999999999</v>
      </c>
    </row>
    <row r="87" spans="2:5">
      <c r="B87" s="61">
        <v>52065646</v>
      </c>
      <c r="C87" s="61">
        <v>1269750</v>
      </c>
      <c r="D87" s="64">
        <v>10231</v>
      </c>
      <c r="E87" s="68">
        <v>7.0000000000000001E-3</v>
      </c>
    </row>
    <row r="88" spans="2:5">
      <c r="B88" s="61">
        <v>55107008</v>
      </c>
      <c r="C88" s="61">
        <v>1269750</v>
      </c>
      <c r="D88" s="65">
        <v>102241</v>
      </c>
      <c r="E88" s="68">
        <v>270.02</v>
      </c>
    </row>
    <row r="89" spans="2:5">
      <c r="B89" s="61">
        <v>55107008</v>
      </c>
      <c r="C89" s="61">
        <v>1269750</v>
      </c>
      <c r="D89" s="64">
        <v>10176</v>
      </c>
      <c r="E89" s="68">
        <v>288.52999999999997</v>
      </c>
    </row>
    <row r="90" spans="2:5">
      <c r="B90" s="61">
        <v>55107008</v>
      </c>
      <c r="C90" s="61">
        <v>1269750</v>
      </c>
      <c r="D90" s="64">
        <v>10232</v>
      </c>
      <c r="E90" s="68">
        <v>212.57599999999999</v>
      </c>
    </row>
    <row r="91" spans="2:5">
      <c r="B91" s="61">
        <v>55107008</v>
      </c>
      <c r="C91" s="61">
        <v>1269750</v>
      </c>
      <c r="D91" s="64">
        <v>10236</v>
      </c>
      <c r="E91" s="68">
        <v>123.12</v>
      </c>
    </row>
    <row r="92" spans="2:5">
      <c r="B92" s="61">
        <v>55107008</v>
      </c>
      <c r="C92" s="61">
        <v>1269750</v>
      </c>
      <c r="D92" s="64">
        <v>10169</v>
      </c>
      <c r="E92" s="68">
        <v>75.739999999999995</v>
      </c>
    </row>
    <row r="93" spans="2:5">
      <c r="B93" s="61">
        <v>55107008</v>
      </c>
      <c r="C93" s="61">
        <v>1269750</v>
      </c>
      <c r="D93" s="64">
        <v>10227</v>
      </c>
      <c r="E93" s="68">
        <v>51.113999999999997</v>
      </c>
    </row>
    <row r="94" spans="2:5">
      <c r="B94" s="61">
        <v>55107008</v>
      </c>
      <c r="C94" s="61">
        <v>1269750</v>
      </c>
      <c r="D94" s="64">
        <v>10168</v>
      </c>
      <c r="E94" s="68">
        <v>48.72</v>
      </c>
    </row>
    <row r="95" spans="2:5">
      <c r="B95" s="61">
        <v>55107008</v>
      </c>
      <c r="C95" s="61">
        <v>1269750</v>
      </c>
      <c r="D95" s="64">
        <v>10234</v>
      </c>
      <c r="E95" s="68">
        <v>47.6</v>
      </c>
    </row>
    <row r="96" spans="2:5">
      <c r="B96" s="61">
        <v>55107008</v>
      </c>
      <c r="C96" s="61">
        <v>1269750</v>
      </c>
      <c r="D96" s="64">
        <v>10174</v>
      </c>
      <c r="E96" s="68">
        <v>37.92</v>
      </c>
    </row>
    <row r="97" spans="2:5">
      <c r="B97" s="61">
        <v>55107008</v>
      </c>
      <c r="C97" s="61">
        <v>1269750</v>
      </c>
      <c r="D97" s="64">
        <v>10170</v>
      </c>
      <c r="E97" s="68">
        <v>32.32</v>
      </c>
    </row>
    <row r="98" spans="2:5">
      <c r="B98" s="61">
        <v>55107008</v>
      </c>
      <c r="C98" s="61">
        <v>1269750</v>
      </c>
      <c r="D98" s="64">
        <v>10172</v>
      </c>
      <c r="E98" s="68">
        <v>30.3</v>
      </c>
    </row>
    <row r="99" spans="2:5">
      <c r="B99" s="61">
        <v>55107008</v>
      </c>
      <c r="C99" s="61">
        <v>1269750</v>
      </c>
      <c r="D99" s="64">
        <v>10167</v>
      </c>
      <c r="E99" s="68">
        <v>24.5</v>
      </c>
    </row>
    <row r="100" spans="2:5">
      <c r="B100" s="61">
        <v>55107008</v>
      </c>
      <c r="C100" s="61">
        <v>1269750</v>
      </c>
      <c r="D100" s="64">
        <v>10173</v>
      </c>
      <c r="E100" s="68">
        <v>10.1</v>
      </c>
    </row>
    <row r="101" spans="2:5">
      <c r="B101" s="61">
        <v>55107008</v>
      </c>
      <c r="C101" s="61">
        <v>1269750</v>
      </c>
      <c r="D101" s="64">
        <v>10187</v>
      </c>
      <c r="E101" s="68">
        <v>10.1</v>
      </c>
    </row>
    <row r="102" spans="2:5">
      <c r="B102" s="61">
        <v>55107008</v>
      </c>
      <c r="C102" s="61">
        <v>1269750</v>
      </c>
      <c r="D102" s="64">
        <v>10188</v>
      </c>
      <c r="E102" s="68">
        <v>10.1</v>
      </c>
    </row>
    <row r="103" spans="2:5">
      <c r="B103" s="61">
        <v>55107008</v>
      </c>
      <c r="C103" s="61">
        <v>1269750</v>
      </c>
      <c r="D103" s="64">
        <v>10171</v>
      </c>
      <c r="E103" s="68">
        <v>2.04</v>
      </c>
    </row>
    <row r="104" spans="2:5">
      <c r="B104" s="61">
        <v>55107008</v>
      </c>
      <c r="C104" s="61">
        <v>1269750</v>
      </c>
      <c r="D104" s="64">
        <v>10178</v>
      </c>
      <c r="E104" s="68">
        <v>2.02</v>
      </c>
    </row>
    <row r="105" spans="2:5">
      <c r="B105" s="61">
        <v>55107008</v>
      </c>
      <c r="C105" s="61">
        <v>1269750</v>
      </c>
      <c r="D105" s="64">
        <v>10231</v>
      </c>
      <c r="E105" s="68">
        <v>0.46200000000000002</v>
      </c>
    </row>
    <row r="106" spans="2:5">
      <c r="B106" s="61">
        <v>60663561</v>
      </c>
      <c r="C106" s="61">
        <v>1269750</v>
      </c>
      <c r="D106" s="64">
        <v>10232</v>
      </c>
      <c r="E106" s="68">
        <v>11.179</v>
      </c>
    </row>
    <row r="107" spans="2:5">
      <c r="B107" s="61">
        <v>62310876</v>
      </c>
      <c r="C107" s="61">
        <v>1643084</v>
      </c>
      <c r="D107" s="64">
        <v>10235</v>
      </c>
      <c r="E107" s="68">
        <v>1.0978000000000001</v>
      </c>
    </row>
    <row r="108" spans="2:5">
      <c r="B108" s="61">
        <v>80715286</v>
      </c>
      <c r="C108" s="61">
        <v>1269750</v>
      </c>
      <c r="D108" s="64">
        <v>10170</v>
      </c>
      <c r="E108" s="68">
        <v>68.680000000000007</v>
      </c>
    </row>
    <row r="109" spans="2:5">
      <c r="B109" s="61">
        <v>80715286</v>
      </c>
      <c r="C109" s="61">
        <v>1269750</v>
      </c>
      <c r="D109" s="64">
        <v>10172</v>
      </c>
      <c r="E109" s="68">
        <v>52.52</v>
      </c>
    </row>
    <row r="110" spans="2:5">
      <c r="B110" s="61">
        <v>80715286</v>
      </c>
      <c r="C110" s="61">
        <v>1269750</v>
      </c>
      <c r="D110" s="64">
        <v>10173</v>
      </c>
      <c r="E110" s="68">
        <v>44.44</v>
      </c>
    </row>
    <row r="111" spans="2:5">
      <c r="B111" s="61">
        <v>80715286</v>
      </c>
      <c r="C111" s="61">
        <v>1269750</v>
      </c>
      <c r="D111" s="64">
        <v>10176</v>
      </c>
      <c r="E111" s="68">
        <v>37.840000000000003</v>
      </c>
    </row>
    <row r="112" spans="2:5">
      <c r="B112" s="61">
        <v>80715286</v>
      </c>
      <c r="C112" s="61">
        <v>1269750</v>
      </c>
      <c r="D112" s="64">
        <v>10169</v>
      </c>
      <c r="E112" s="68">
        <v>32.46</v>
      </c>
    </row>
    <row r="113" spans="1:13">
      <c r="B113" s="61">
        <v>80715286</v>
      </c>
      <c r="C113" s="61">
        <v>1269750</v>
      </c>
      <c r="D113" s="64">
        <v>10171</v>
      </c>
      <c r="E113" s="68">
        <v>24.34</v>
      </c>
    </row>
    <row r="114" spans="1:13">
      <c r="B114" s="61">
        <v>80715286</v>
      </c>
      <c r="C114" s="61">
        <v>1269750</v>
      </c>
      <c r="D114" s="64">
        <v>10232</v>
      </c>
      <c r="E114" s="68">
        <v>18.914000000000001</v>
      </c>
    </row>
    <row r="115" spans="1:13">
      <c r="B115" s="61">
        <v>80715286</v>
      </c>
      <c r="C115" s="61">
        <v>1269750</v>
      </c>
      <c r="D115" s="64">
        <v>10188</v>
      </c>
      <c r="E115" s="68">
        <v>6.06</v>
      </c>
    </row>
    <row r="116" spans="1:13">
      <c r="B116" s="61">
        <v>80715286</v>
      </c>
      <c r="C116" s="61">
        <v>1269750</v>
      </c>
      <c r="D116" s="64">
        <v>10174</v>
      </c>
      <c r="E116" s="68">
        <v>4.74</v>
      </c>
    </row>
    <row r="117" spans="1:13">
      <c r="B117" s="61">
        <v>80715286</v>
      </c>
      <c r="C117" s="61">
        <v>1269750</v>
      </c>
      <c r="D117" s="64">
        <v>10167</v>
      </c>
      <c r="E117" s="68">
        <v>4.2</v>
      </c>
    </row>
    <row r="118" spans="1:13">
      <c r="B118" s="61">
        <v>80715286</v>
      </c>
      <c r="C118" s="61">
        <v>1269750</v>
      </c>
      <c r="D118" s="64">
        <v>10187</v>
      </c>
      <c r="E118" s="68">
        <v>4.04</v>
      </c>
    </row>
    <row r="119" spans="1:13" ht="13.8" thickBot="1">
      <c r="B119" s="62">
        <v>94757439</v>
      </c>
      <c r="C119" s="62">
        <v>1269750</v>
      </c>
      <c r="D119" s="66">
        <v>10176</v>
      </c>
      <c r="E119" s="69">
        <v>4.78</v>
      </c>
    </row>
    <row r="120" spans="1:13" ht="13.8" thickBot="1"/>
    <row r="121" spans="1:13" ht="13.8" customHeight="1" thickBot="1">
      <c r="A121" s="40" t="s">
        <v>27</v>
      </c>
      <c r="B121" s="41"/>
      <c r="C121" s="41"/>
      <c r="D121" s="41"/>
      <c r="E121" s="42"/>
    </row>
    <row r="122" spans="1:13" ht="13.8" thickBot="1"/>
    <row r="123" spans="1:13" ht="27" thickBot="1">
      <c r="B123" s="56" t="s">
        <v>5</v>
      </c>
      <c r="C123" s="56" t="s">
        <v>7</v>
      </c>
      <c r="D123" s="56" t="s">
        <v>6</v>
      </c>
      <c r="E123" s="72" t="s">
        <v>8</v>
      </c>
      <c r="F123" s="75" t="s">
        <v>9</v>
      </c>
      <c r="G123" s="78" t="s">
        <v>10</v>
      </c>
      <c r="H123" s="79" t="s">
        <v>11</v>
      </c>
      <c r="I123" s="87" t="s">
        <v>12</v>
      </c>
      <c r="J123" s="84" t="s">
        <v>13</v>
      </c>
      <c r="K123" s="87" t="s">
        <v>14</v>
      </c>
      <c r="L123" s="88" t="s">
        <v>15</v>
      </c>
      <c r="M123" s="88" t="s">
        <v>16</v>
      </c>
    </row>
    <row r="124" spans="1:13">
      <c r="B124" s="49">
        <v>15221664</v>
      </c>
      <c r="C124" s="49">
        <v>1269750</v>
      </c>
      <c r="D124" s="49">
        <v>10232</v>
      </c>
      <c r="E124" s="73">
        <v>5</v>
      </c>
      <c r="F124" s="76">
        <v>50.735999999999997</v>
      </c>
      <c r="G124" s="80">
        <v>1277301</v>
      </c>
      <c r="H124" s="81">
        <v>7597</v>
      </c>
      <c r="I124" s="89">
        <f>H124/G124</f>
        <v>5.9476975278340812E-3</v>
      </c>
      <c r="J124" s="85">
        <v>3.9721260000000001E-2</v>
      </c>
      <c r="K124" s="89">
        <f>F124/59.7228</f>
        <v>0.84952480459723922</v>
      </c>
      <c r="L124" s="90">
        <f>G124/1365722</f>
        <v>0.93525695566154754</v>
      </c>
      <c r="M124" s="90">
        <f>H124/8476</f>
        <v>0.89629542236904203</v>
      </c>
    </row>
    <row r="125" spans="1:13">
      <c r="B125" s="50">
        <v>15221664</v>
      </c>
      <c r="C125" s="50">
        <v>1269750</v>
      </c>
      <c r="D125" s="50">
        <v>10232</v>
      </c>
      <c r="E125" s="74">
        <v>1</v>
      </c>
      <c r="F125" s="77">
        <v>1.47</v>
      </c>
      <c r="G125" s="82">
        <v>13253</v>
      </c>
      <c r="H125" s="83">
        <v>219</v>
      </c>
      <c r="I125" s="89">
        <f t="shared" ref="I125:I188" si="0">H125/G125</f>
        <v>1.652456047687316E-2</v>
      </c>
      <c r="J125" s="86">
        <v>0.11091827999999999</v>
      </c>
      <c r="K125" s="89">
        <f t="shared" ref="K125:K126" si="1">F125/59.7228</f>
        <v>2.4613715364986237E-2</v>
      </c>
      <c r="L125" s="90">
        <f t="shared" ref="L125:L126" si="2">G125/1365722</f>
        <v>9.7040246843793972E-3</v>
      </c>
      <c r="M125" s="90">
        <f t="shared" ref="M125:M126" si="3">H125/8476</f>
        <v>2.5837659273242095E-2</v>
      </c>
    </row>
    <row r="126" spans="1:13">
      <c r="B126" s="93">
        <v>15221664</v>
      </c>
      <c r="C126" s="93">
        <v>1643084</v>
      </c>
      <c r="D126" s="93">
        <v>10235</v>
      </c>
      <c r="E126" s="94">
        <v>1</v>
      </c>
      <c r="F126" s="95">
        <v>7.5167999999999999</v>
      </c>
      <c r="G126" s="96">
        <v>75168</v>
      </c>
      <c r="H126" s="97">
        <v>660</v>
      </c>
      <c r="I126" s="165">
        <f t="shared" si="0"/>
        <v>8.7803320561941258E-3</v>
      </c>
      <c r="J126" s="98">
        <v>0.1</v>
      </c>
      <c r="K126" s="99">
        <f t="shared" si="1"/>
        <v>0.12586148003777453</v>
      </c>
      <c r="L126" s="100">
        <f t="shared" si="2"/>
        <v>5.5039019654073082E-2</v>
      </c>
      <c r="M126" s="100">
        <f t="shared" si="3"/>
        <v>7.7866918357715906E-2</v>
      </c>
    </row>
    <row r="127" spans="1:13">
      <c r="B127" s="132">
        <v>19383848</v>
      </c>
      <c r="C127" s="132">
        <v>1269750</v>
      </c>
      <c r="D127" s="132">
        <v>10202</v>
      </c>
      <c r="E127" s="174">
        <v>5</v>
      </c>
      <c r="F127" s="175">
        <v>0.50700000000000001</v>
      </c>
      <c r="G127" s="176">
        <v>0</v>
      </c>
      <c r="H127" s="177">
        <v>0</v>
      </c>
      <c r="I127" s="178" t="s">
        <v>40</v>
      </c>
      <c r="J127" s="179" t="s">
        <v>1</v>
      </c>
      <c r="K127" s="180">
        <v>1</v>
      </c>
      <c r="L127" s="181">
        <v>1</v>
      </c>
      <c r="M127" s="181">
        <v>1</v>
      </c>
    </row>
    <row r="128" spans="1:13">
      <c r="B128" s="50">
        <v>19729577</v>
      </c>
      <c r="C128" s="50">
        <v>1269750</v>
      </c>
      <c r="D128" s="50">
        <v>10169</v>
      </c>
      <c r="E128" s="74">
        <v>7</v>
      </c>
      <c r="F128" s="77">
        <v>5.41</v>
      </c>
      <c r="G128" s="82">
        <v>183</v>
      </c>
      <c r="H128" s="83">
        <v>4</v>
      </c>
      <c r="I128" s="89">
        <f t="shared" si="0"/>
        <v>2.185792349726776E-2</v>
      </c>
      <c r="J128" s="86">
        <v>29.56284153</v>
      </c>
      <c r="K128" s="91">
        <f>F128/73.85</f>
        <v>7.3256601218686532E-2</v>
      </c>
      <c r="L128" s="92">
        <f>G128/208096</f>
        <v>8.7940181454713214E-4</v>
      </c>
      <c r="M128" s="92">
        <f>H128/6318</f>
        <v>6.3311174422285533E-4</v>
      </c>
    </row>
    <row r="129" spans="2:13">
      <c r="B129" s="50">
        <v>19729577</v>
      </c>
      <c r="C129" s="50">
        <v>1269750</v>
      </c>
      <c r="D129" s="50">
        <v>10224</v>
      </c>
      <c r="E129" s="74">
        <v>2</v>
      </c>
      <c r="F129" s="77">
        <v>64.48</v>
      </c>
      <c r="G129" s="82">
        <v>198089</v>
      </c>
      <c r="H129" s="83">
        <v>5769</v>
      </c>
      <c r="I129" s="89">
        <f t="shared" si="0"/>
        <v>2.9123272872294777E-2</v>
      </c>
      <c r="J129" s="86">
        <v>0.32551025</v>
      </c>
      <c r="K129" s="91">
        <f t="shared" ref="K129:K130" si="4">F129/73.85</f>
        <v>0.873121191604604</v>
      </c>
      <c r="L129" s="92">
        <f t="shared" ref="L129:L130" si="5">G129/208096</f>
        <v>0.95191161771490085</v>
      </c>
      <c r="M129" s="92">
        <f t="shared" ref="M129:M130" si="6">H129/6318</f>
        <v>0.91310541310541316</v>
      </c>
    </row>
    <row r="130" spans="2:13">
      <c r="B130" s="50">
        <v>19729577</v>
      </c>
      <c r="C130" s="50">
        <v>1269750</v>
      </c>
      <c r="D130" s="50">
        <v>10236</v>
      </c>
      <c r="E130" s="74">
        <v>3</v>
      </c>
      <c r="F130" s="77">
        <v>3.96</v>
      </c>
      <c r="G130" s="82">
        <v>9824</v>
      </c>
      <c r="H130" s="83">
        <v>545</v>
      </c>
      <c r="I130" s="89">
        <f t="shared" si="0"/>
        <v>5.5476384364820844E-2</v>
      </c>
      <c r="J130" s="86">
        <v>0.40309445999999999</v>
      </c>
      <c r="K130" s="91">
        <f t="shared" si="4"/>
        <v>5.3622207176709548E-2</v>
      </c>
      <c r="L130" s="92">
        <f t="shared" si="5"/>
        <v>4.7208980470552053E-2</v>
      </c>
      <c r="M130" s="92">
        <f t="shared" si="6"/>
        <v>8.6261475150364045E-2</v>
      </c>
    </row>
    <row r="131" spans="2:13">
      <c r="B131" s="109">
        <v>32359233</v>
      </c>
      <c r="C131" s="109">
        <v>1269750</v>
      </c>
      <c r="D131" s="109">
        <v>10168</v>
      </c>
      <c r="E131" s="110">
        <v>16</v>
      </c>
      <c r="F131" s="111">
        <v>8.1199999999999992</v>
      </c>
      <c r="G131" s="112">
        <v>201</v>
      </c>
      <c r="H131" s="113">
        <v>4</v>
      </c>
      <c r="I131" s="115">
        <f t="shared" si="0"/>
        <v>1.9900497512437811E-2</v>
      </c>
      <c r="J131" s="114">
        <v>40.398009950000002</v>
      </c>
      <c r="K131" s="116">
        <f>F131/2785.426</f>
        <v>2.9151734779527439E-3</v>
      </c>
      <c r="L131" s="117">
        <f>G131/23224335</f>
        <v>8.6547149789218931E-6</v>
      </c>
      <c r="M131" s="117">
        <f>H131/212025</f>
        <v>1.8865699799551938E-5</v>
      </c>
    </row>
    <row r="132" spans="2:13">
      <c r="B132" s="119">
        <v>32359233</v>
      </c>
      <c r="C132" s="119">
        <v>1269750</v>
      </c>
      <c r="D132" s="119">
        <v>10169</v>
      </c>
      <c r="E132" s="120">
        <v>4</v>
      </c>
      <c r="F132" s="121">
        <v>86.56</v>
      </c>
      <c r="G132" s="122">
        <v>15752</v>
      </c>
      <c r="H132" s="123">
        <v>197</v>
      </c>
      <c r="I132" s="89">
        <f t="shared" si="0"/>
        <v>1.2506348400203149E-2</v>
      </c>
      <c r="J132" s="124">
        <v>5.4951752200000001</v>
      </c>
      <c r="K132" s="118">
        <f t="shared" ref="K132:K157" si="7">F132/2785.426</f>
        <v>3.1076036484185905E-2</v>
      </c>
      <c r="L132" s="125">
        <f t="shared" ref="L132:L157" si="8">G132/23224335</f>
        <v>6.7825408133322226E-4</v>
      </c>
      <c r="M132" s="125">
        <f t="shared" ref="M132:M157" si="9">H132/212025</f>
        <v>9.2913571512793299E-4</v>
      </c>
    </row>
    <row r="133" spans="2:13">
      <c r="B133" s="109">
        <v>32359233</v>
      </c>
      <c r="C133" s="109">
        <v>1269750</v>
      </c>
      <c r="D133" s="109">
        <v>10169</v>
      </c>
      <c r="E133" s="110">
        <v>14</v>
      </c>
      <c r="F133" s="111">
        <v>10.82</v>
      </c>
      <c r="G133" s="112">
        <v>1073</v>
      </c>
      <c r="H133" s="113">
        <v>14</v>
      </c>
      <c r="I133" s="115">
        <f t="shared" si="0"/>
        <v>1.3047530288909599E-2</v>
      </c>
      <c r="J133" s="114">
        <v>10.083876979999999</v>
      </c>
      <c r="K133" s="116">
        <f t="shared" si="7"/>
        <v>3.8845045605232381E-3</v>
      </c>
      <c r="L133" s="117">
        <f t="shared" si="8"/>
        <v>4.6201538171060654E-5</v>
      </c>
      <c r="M133" s="117">
        <f t="shared" si="9"/>
        <v>6.6029949298431788E-5</v>
      </c>
    </row>
    <row r="134" spans="2:13">
      <c r="B134" s="50">
        <v>32359233</v>
      </c>
      <c r="C134" s="50">
        <v>1269750</v>
      </c>
      <c r="D134" s="50">
        <v>10170</v>
      </c>
      <c r="E134" s="74">
        <v>13</v>
      </c>
      <c r="F134" s="77">
        <v>309.06</v>
      </c>
      <c r="G134" s="82">
        <v>1721311</v>
      </c>
      <c r="H134" s="83">
        <v>15441</v>
      </c>
      <c r="I134" s="89">
        <f t="shared" si="0"/>
        <v>8.9704881918491203E-3</v>
      </c>
      <c r="J134" s="86">
        <v>0.17954919</v>
      </c>
      <c r="K134" s="91">
        <f t="shared" si="7"/>
        <v>0.11095609791823585</v>
      </c>
      <c r="L134" s="92">
        <f t="shared" si="8"/>
        <v>7.4116696990462805E-2</v>
      </c>
      <c r="M134" s="92">
        <f t="shared" si="9"/>
        <v>7.2826317651220371E-2</v>
      </c>
    </row>
    <row r="135" spans="2:13">
      <c r="B135" s="119">
        <v>32359233</v>
      </c>
      <c r="C135" s="119">
        <v>1269750</v>
      </c>
      <c r="D135" s="119">
        <v>10170</v>
      </c>
      <c r="E135" s="120">
        <v>4</v>
      </c>
      <c r="F135" s="121">
        <v>103.02</v>
      </c>
      <c r="G135" s="122">
        <v>491498</v>
      </c>
      <c r="H135" s="123">
        <v>3254</v>
      </c>
      <c r="I135" s="89">
        <f t="shared" si="0"/>
        <v>6.6205762790489484E-3</v>
      </c>
      <c r="J135" s="124">
        <v>0.20960411000000001</v>
      </c>
      <c r="K135" s="118">
        <f t="shared" si="7"/>
        <v>3.6985365972745279E-2</v>
      </c>
      <c r="L135" s="125">
        <f t="shared" si="8"/>
        <v>2.1163060212488323E-2</v>
      </c>
      <c r="M135" s="125">
        <f t="shared" si="9"/>
        <v>1.5347246786935503E-2</v>
      </c>
    </row>
    <row r="136" spans="2:13">
      <c r="B136" s="50">
        <v>32359233</v>
      </c>
      <c r="C136" s="50">
        <v>1269750</v>
      </c>
      <c r="D136" s="50">
        <v>10171</v>
      </c>
      <c r="E136" s="74">
        <v>13</v>
      </c>
      <c r="F136" s="77">
        <v>230.52</v>
      </c>
      <c r="G136" s="82">
        <v>946348</v>
      </c>
      <c r="H136" s="83">
        <v>9220</v>
      </c>
      <c r="I136" s="89">
        <f t="shared" si="0"/>
        <v>9.7427162101045277E-3</v>
      </c>
      <c r="J136" s="86">
        <v>0.24358904000000001</v>
      </c>
      <c r="K136" s="91">
        <f t="shared" si="7"/>
        <v>8.2759333760796375E-2</v>
      </c>
      <c r="L136" s="92">
        <f t="shared" si="8"/>
        <v>4.0748120452103367E-2</v>
      </c>
      <c r="M136" s="92">
        <f t="shared" si="9"/>
        <v>4.3485438037967221E-2</v>
      </c>
    </row>
    <row r="137" spans="2:13">
      <c r="B137" s="50">
        <v>32359233</v>
      </c>
      <c r="C137" s="50">
        <v>1269750</v>
      </c>
      <c r="D137" s="50">
        <v>10171</v>
      </c>
      <c r="E137" s="74">
        <v>4</v>
      </c>
      <c r="F137" s="77">
        <v>146.88</v>
      </c>
      <c r="G137" s="82">
        <v>575652</v>
      </c>
      <c r="H137" s="83">
        <v>4959</v>
      </c>
      <c r="I137" s="89">
        <f t="shared" si="0"/>
        <v>8.6145796418669613E-3</v>
      </c>
      <c r="J137" s="86">
        <v>0.25515416000000002</v>
      </c>
      <c r="K137" s="91">
        <f t="shared" si="7"/>
        <v>5.2731610891834854E-2</v>
      </c>
      <c r="L137" s="92">
        <f t="shared" si="8"/>
        <v>2.4786587000230578E-2</v>
      </c>
      <c r="M137" s="92">
        <f t="shared" si="9"/>
        <v>2.3388751326494518E-2</v>
      </c>
    </row>
    <row r="138" spans="2:13">
      <c r="B138" s="50">
        <v>32359233</v>
      </c>
      <c r="C138" s="50">
        <v>1269750</v>
      </c>
      <c r="D138" s="50">
        <v>10172</v>
      </c>
      <c r="E138" s="74">
        <v>13</v>
      </c>
      <c r="F138" s="77">
        <v>339.36</v>
      </c>
      <c r="G138" s="82">
        <v>2723808</v>
      </c>
      <c r="H138" s="83">
        <v>25957</v>
      </c>
      <c r="I138" s="89">
        <f t="shared" si="0"/>
        <v>9.5296731634535187E-3</v>
      </c>
      <c r="J138" s="86">
        <v>0.12459028</v>
      </c>
      <c r="K138" s="91">
        <f t="shared" si="7"/>
        <v>0.12183414673374918</v>
      </c>
      <c r="L138" s="92">
        <f t="shared" si="8"/>
        <v>0.11728249700152879</v>
      </c>
      <c r="M138" s="92">
        <f t="shared" si="9"/>
        <v>0.12242424242424242</v>
      </c>
    </row>
    <row r="139" spans="2:13">
      <c r="B139" s="119">
        <v>32359233</v>
      </c>
      <c r="C139" s="119">
        <v>1269750</v>
      </c>
      <c r="D139" s="119">
        <v>10172</v>
      </c>
      <c r="E139" s="120">
        <v>18</v>
      </c>
      <c r="F139" s="121">
        <v>115.14</v>
      </c>
      <c r="G139" s="122">
        <v>568850</v>
      </c>
      <c r="H139" s="123">
        <v>3900</v>
      </c>
      <c r="I139" s="89">
        <f t="shared" si="0"/>
        <v>6.8559374175969062E-3</v>
      </c>
      <c r="J139" s="124">
        <v>0.20240837</v>
      </c>
      <c r="K139" s="118">
        <f t="shared" si="7"/>
        <v>4.1336585498950612E-2</v>
      </c>
      <c r="L139" s="125">
        <f t="shared" si="8"/>
        <v>2.4493704556018504E-2</v>
      </c>
      <c r="M139" s="125">
        <f t="shared" si="9"/>
        <v>1.839405730456314E-2</v>
      </c>
    </row>
    <row r="140" spans="2:13">
      <c r="B140" s="50">
        <v>32359233</v>
      </c>
      <c r="C140" s="50">
        <v>1269750</v>
      </c>
      <c r="D140" s="50">
        <v>10173</v>
      </c>
      <c r="E140" s="74">
        <v>13</v>
      </c>
      <c r="F140" s="77">
        <v>218.16</v>
      </c>
      <c r="G140" s="82">
        <v>1073033</v>
      </c>
      <c r="H140" s="83">
        <v>9579</v>
      </c>
      <c r="I140" s="89">
        <f t="shared" si="0"/>
        <v>8.9270320670473326E-3</v>
      </c>
      <c r="J140" s="86">
        <v>0.20331155000000001</v>
      </c>
      <c r="K140" s="91">
        <f t="shared" si="7"/>
        <v>7.8321951471695891E-2</v>
      </c>
      <c r="L140" s="92">
        <f t="shared" si="8"/>
        <v>4.6202959094415408E-2</v>
      </c>
      <c r="M140" s="92">
        <f t="shared" si="9"/>
        <v>4.5178634594977007E-2</v>
      </c>
    </row>
    <row r="141" spans="2:13">
      <c r="B141" s="109">
        <v>32359233</v>
      </c>
      <c r="C141" s="109">
        <v>1269750</v>
      </c>
      <c r="D141" s="109">
        <v>10173</v>
      </c>
      <c r="E141" s="110">
        <v>4</v>
      </c>
      <c r="F141" s="111">
        <v>58.58</v>
      </c>
      <c r="G141" s="112">
        <v>151466</v>
      </c>
      <c r="H141" s="113">
        <v>1022</v>
      </c>
      <c r="I141" s="115">
        <f t="shared" si="0"/>
        <v>6.7473888529438952E-3</v>
      </c>
      <c r="J141" s="114">
        <v>0.38675345999999999</v>
      </c>
      <c r="K141" s="116">
        <f t="shared" si="7"/>
        <v>2.103089437665908E-2</v>
      </c>
      <c r="L141" s="117">
        <f t="shared" si="8"/>
        <v>6.5218659651611124E-3</v>
      </c>
      <c r="M141" s="117">
        <f t="shared" si="9"/>
        <v>4.8201862987855204E-3</v>
      </c>
    </row>
    <row r="142" spans="2:13">
      <c r="B142" s="119">
        <v>32359233</v>
      </c>
      <c r="C142" s="119">
        <v>1269750</v>
      </c>
      <c r="D142" s="119">
        <v>10174</v>
      </c>
      <c r="E142" s="120">
        <v>13</v>
      </c>
      <c r="F142" s="121">
        <v>71.099999999999994</v>
      </c>
      <c r="G142" s="122">
        <v>14346</v>
      </c>
      <c r="H142" s="123">
        <v>147</v>
      </c>
      <c r="I142" s="89">
        <f t="shared" si="0"/>
        <v>1.0246758678377248E-2</v>
      </c>
      <c r="J142" s="124">
        <v>4.9560853199999997</v>
      </c>
      <c r="K142" s="118">
        <f t="shared" si="7"/>
        <v>2.5525718507689667E-2</v>
      </c>
      <c r="L142" s="125">
        <f t="shared" si="8"/>
        <v>6.1771413476424621E-4</v>
      </c>
      <c r="M142" s="125">
        <f t="shared" si="9"/>
        <v>6.9331446763353378E-4</v>
      </c>
    </row>
    <row r="143" spans="2:13">
      <c r="B143" s="109">
        <v>32359233</v>
      </c>
      <c r="C143" s="109">
        <v>1269750</v>
      </c>
      <c r="D143" s="109">
        <v>10174</v>
      </c>
      <c r="E143" s="110">
        <v>4</v>
      </c>
      <c r="F143" s="111">
        <v>47.4</v>
      </c>
      <c r="G143" s="112">
        <v>10656</v>
      </c>
      <c r="H143" s="113">
        <v>124</v>
      </c>
      <c r="I143" s="115">
        <f t="shared" si="0"/>
        <v>1.1636636636636636E-2</v>
      </c>
      <c r="J143" s="114">
        <v>4.4481982000000002</v>
      </c>
      <c r="K143" s="116">
        <f t="shared" si="7"/>
        <v>1.7017145671793112E-2</v>
      </c>
      <c r="L143" s="117">
        <f t="shared" si="8"/>
        <v>4.5882906873329201E-4</v>
      </c>
      <c r="M143" s="117">
        <f t="shared" si="9"/>
        <v>5.8483669378611009E-4</v>
      </c>
    </row>
    <row r="144" spans="2:13">
      <c r="B144" s="50">
        <v>32359233</v>
      </c>
      <c r="C144" s="50">
        <v>1269750</v>
      </c>
      <c r="D144" s="50">
        <v>10176</v>
      </c>
      <c r="E144" s="74">
        <v>16</v>
      </c>
      <c r="F144" s="77">
        <v>515.57000000000005</v>
      </c>
      <c r="G144" s="82">
        <v>874563</v>
      </c>
      <c r="H144" s="83">
        <v>9379</v>
      </c>
      <c r="I144" s="89">
        <f t="shared" si="0"/>
        <v>1.0724213121296008E-2</v>
      </c>
      <c r="J144" s="86">
        <v>0.58951728000000003</v>
      </c>
      <c r="K144" s="91">
        <f t="shared" si="7"/>
        <v>0.18509556527439611</v>
      </c>
      <c r="L144" s="92">
        <f t="shared" si="8"/>
        <v>3.7657181572690886E-2</v>
      </c>
      <c r="M144" s="92">
        <f t="shared" si="9"/>
        <v>4.4235349604999412E-2</v>
      </c>
    </row>
    <row r="145" spans="2:13">
      <c r="B145" s="109">
        <v>32359233</v>
      </c>
      <c r="C145" s="109">
        <v>1269750</v>
      </c>
      <c r="D145" s="109">
        <v>10178</v>
      </c>
      <c r="E145" s="110">
        <v>1</v>
      </c>
      <c r="F145" s="111">
        <v>4.04</v>
      </c>
      <c r="G145" s="112">
        <v>534</v>
      </c>
      <c r="H145" s="113">
        <v>9</v>
      </c>
      <c r="I145" s="115">
        <f>H145/G145</f>
        <v>1.6853932584269662E-2</v>
      </c>
      <c r="J145" s="114">
        <v>7.5655430700000004</v>
      </c>
      <c r="K145" s="116">
        <f t="shared" si="7"/>
        <v>1.4504065087351092E-3</v>
      </c>
      <c r="L145" s="117">
        <f t="shared" si="8"/>
        <v>2.2993123376837269E-5</v>
      </c>
      <c r="M145" s="117">
        <f t="shared" si="9"/>
        <v>4.2447824548991865E-5</v>
      </c>
    </row>
    <row r="146" spans="2:13">
      <c r="B146" s="109">
        <v>32359233</v>
      </c>
      <c r="C146" s="109">
        <v>1269750</v>
      </c>
      <c r="D146" s="109">
        <v>10178</v>
      </c>
      <c r="E146" s="110">
        <v>5</v>
      </c>
      <c r="F146" s="111">
        <v>4.04</v>
      </c>
      <c r="G146" s="112">
        <v>575</v>
      </c>
      <c r="H146" s="113">
        <v>7</v>
      </c>
      <c r="I146" s="115">
        <f t="shared" si="0"/>
        <v>1.2173913043478261E-2</v>
      </c>
      <c r="J146" s="114">
        <v>7.0260869599999998</v>
      </c>
      <c r="K146" s="116">
        <f t="shared" si="7"/>
        <v>1.4504065087351092E-3</v>
      </c>
      <c r="L146" s="117">
        <f t="shared" si="8"/>
        <v>2.4758512999403427E-5</v>
      </c>
      <c r="M146" s="117">
        <f t="shared" si="9"/>
        <v>3.3014974649215894E-5</v>
      </c>
    </row>
    <row r="147" spans="2:13">
      <c r="B147" s="109">
        <v>32359233</v>
      </c>
      <c r="C147" s="109">
        <v>1269750</v>
      </c>
      <c r="D147" s="109">
        <v>10187</v>
      </c>
      <c r="E147" s="110">
        <v>6</v>
      </c>
      <c r="F147" s="111">
        <v>44.44</v>
      </c>
      <c r="G147" s="112">
        <v>92555</v>
      </c>
      <c r="H147" s="113">
        <v>1037</v>
      </c>
      <c r="I147" s="115">
        <f t="shared" si="0"/>
        <v>1.1204148884447086E-2</v>
      </c>
      <c r="J147" s="114">
        <v>0.48014694000000002</v>
      </c>
      <c r="K147" s="116">
        <f t="shared" si="7"/>
        <v>1.5954471596086199E-2</v>
      </c>
      <c r="L147" s="117">
        <f t="shared" si="8"/>
        <v>3.9852594272344073E-3</v>
      </c>
      <c r="M147" s="117">
        <f t="shared" si="9"/>
        <v>4.8909326730338402E-3</v>
      </c>
    </row>
    <row r="148" spans="2:13">
      <c r="B148" s="119">
        <v>32359233</v>
      </c>
      <c r="C148" s="119">
        <v>1269750</v>
      </c>
      <c r="D148" s="119">
        <v>10188</v>
      </c>
      <c r="E148" s="120">
        <v>11</v>
      </c>
      <c r="F148" s="121">
        <v>80.8</v>
      </c>
      <c r="G148" s="122">
        <v>127209</v>
      </c>
      <c r="H148" s="123">
        <v>1130</v>
      </c>
      <c r="I148" s="89">
        <f t="shared" si="0"/>
        <v>8.8830192832268159E-3</v>
      </c>
      <c r="J148" s="124">
        <v>0.63517517999999995</v>
      </c>
      <c r="K148" s="118">
        <f t="shared" si="7"/>
        <v>2.9008130174702183E-2</v>
      </c>
      <c r="L148" s="125">
        <f t="shared" si="8"/>
        <v>5.4774011828541058E-3</v>
      </c>
      <c r="M148" s="125">
        <f t="shared" si="9"/>
        <v>5.3295601933734229E-3</v>
      </c>
    </row>
    <row r="149" spans="2:13">
      <c r="B149" s="109">
        <v>32359233</v>
      </c>
      <c r="C149" s="109">
        <v>1269750</v>
      </c>
      <c r="D149" s="109">
        <v>10188</v>
      </c>
      <c r="E149" s="110">
        <v>10</v>
      </c>
      <c r="F149" s="111">
        <v>48.48</v>
      </c>
      <c r="G149" s="112">
        <v>75190</v>
      </c>
      <c r="H149" s="113">
        <v>565</v>
      </c>
      <c r="I149" s="115">
        <f t="shared" si="0"/>
        <v>7.5142971139779222E-3</v>
      </c>
      <c r="J149" s="114">
        <v>0.64476659000000003</v>
      </c>
      <c r="K149" s="116">
        <f t="shared" si="7"/>
        <v>1.740487810482131E-2</v>
      </c>
      <c r="L149" s="117">
        <f t="shared" si="8"/>
        <v>3.2375523346524237E-3</v>
      </c>
      <c r="M149" s="117">
        <f t="shared" si="9"/>
        <v>2.6647800966867114E-3</v>
      </c>
    </row>
    <row r="150" spans="2:13">
      <c r="B150" s="132">
        <v>32359233</v>
      </c>
      <c r="C150" s="132">
        <v>1269750</v>
      </c>
      <c r="D150" s="132">
        <v>10210</v>
      </c>
      <c r="E150" s="174">
        <v>3</v>
      </c>
      <c r="F150" s="175">
        <v>2.5999999999999999E-2</v>
      </c>
      <c r="G150" s="176">
        <v>0</v>
      </c>
      <c r="H150" s="177">
        <v>0</v>
      </c>
      <c r="I150" s="178" t="s">
        <v>40</v>
      </c>
      <c r="J150" s="179" t="s">
        <v>1</v>
      </c>
      <c r="K150" s="180">
        <f t="shared" si="7"/>
        <v>9.334299313641791E-6</v>
      </c>
      <c r="L150" s="181">
        <f t="shared" si="8"/>
        <v>0</v>
      </c>
      <c r="M150" s="181">
        <f t="shared" si="9"/>
        <v>0</v>
      </c>
    </row>
    <row r="151" spans="2:13">
      <c r="B151" s="132">
        <v>32359233</v>
      </c>
      <c r="C151" s="132">
        <v>1269750</v>
      </c>
      <c r="D151" s="132">
        <v>10210</v>
      </c>
      <c r="E151" s="174">
        <v>4</v>
      </c>
      <c r="F151" s="175">
        <v>2.5999999999999999E-2</v>
      </c>
      <c r="G151" s="176">
        <v>0</v>
      </c>
      <c r="H151" s="177">
        <v>0</v>
      </c>
      <c r="I151" s="178" t="s">
        <v>40</v>
      </c>
      <c r="J151" s="179" t="s">
        <v>1</v>
      </c>
      <c r="K151" s="180">
        <f t="shared" si="7"/>
        <v>9.334299313641791E-6</v>
      </c>
      <c r="L151" s="181">
        <f t="shared" si="8"/>
        <v>0</v>
      </c>
      <c r="M151" s="181">
        <f t="shared" si="9"/>
        <v>0</v>
      </c>
    </row>
    <row r="152" spans="2:13">
      <c r="B152" s="109">
        <v>32359233</v>
      </c>
      <c r="C152" s="109">
        <v>1269750</v>
      </c>
      <c r="D152" s="109">
        <v>10224</v>
      </c>
      <c r="E152" s="110">
        <v>1</v>
      </c>
      <c r="F152" s="111">
        <v>66.489999999999995</v>
      </c>
      <c r="G152" s="112">
        <v>2170851</v>
      </c>
      <c r="H152" s="113">
        <v>16072</v>
      </c>
      <c r="I152" s="115">
        <f t="shared" si="0"/>
        <v>7.4035481937728565E-3</v>
      </c>
      <c r="J152" s="114">
        <v>3.0628539999999999E-2</v>
      </c>
      <c r="K152" s="116">
        <f t="shared" si="7"/>
        <v>2.3870675437078565E-2</v>
      </c>
      <c r="L152" s="117">
        <f t="shared" si="8"/>
        <v>9.3473117744813788E-2</v>
      </c>
      <c r="M152" s="117">
        <f t="shared" si="9"/>
        <v>7.5802381794599694E-2</v>
      </c>
    </row>
    <row r="153" spans="2:13">
      <c r="B153" s="132">
        <v>32359233</v>
      </c>
      <c r="C153" s="132">
        <v>1269750</v>
      </c>
      <c r="D153" s="132">
        <v>10227</v>
      </c>
      <c r="E153" s="174">
        <v>2</v>
      </c>
      <c r="F153" s="175">
        <v>9.8000000000000004E-2</v>
      </c>
      <c r="G153" s="176">
        <v>0</v>
      </c>
      <c r="H153" s="177">
        <v>0</v>
      </c>
      <c r="I153" s="178" t="s">
        <v>40</v>
      </c>
      <c r="J153" s="179" t="s">
        <v>1</v>
      </c>
      <c r="K153" s="180">
        <f t="shared" si="7"/>
        <v>3.5183128182188291E-5</v>
      </c>
      <c r="L153" s="181">
        <f t="shared" si="8"/>
        <v>0</v>
      </c>
      <c r="M153" s="181">
        <f t="shared" si="9"/>
        <v>0</v>
      </c>
    </row>
    <row r="154" spans="2:13">
      <c r="B154" s="50">
        <v>32359233</v>
      </c>
      <c r="C154" s="50">
        <v>1269750</v>
      </c>
      <c r="D154" s="50">
        <v>10232</v>
      </c>
      <c r="E154" s="74">
        <v>1</v>
      </c>
      <c r="F154" s="77">
        <v>127.736</v>
      </c>
      <c r="G154" s="82">
        <v>2931199</v>
      </c>
      <c r="H154" s="83">
        <v>20182</v>
      </c>
      <c r="I154" s="89">
        <f t="shared" si="0"/>
        <v>6.8852370651054399E-3</v>
      </c>
      <c r="J154" s="86">
        <v>4.3578069999999997E-2</v>
      </c>
      <c r="K154" s="91">
        <f t="shared" si="7"/>
        <v>4.5858694504897997E-2</v>
      </c>
      <c r="L154" s="92">
        <f t="shared" si="8"/>
        <v>0.12621239747015361</v>
      </c>
      <c r="M154" s="92">
        <f t="shared" si="9"/>
        <v>9.5186888338639308E-2</v>
      </c>
    </row>
    <row r="155" spans="2:13">
      <c r="B155" s="50">
        <v>32359233</v>
      </c>
      <c r="C155" s="50">
        <v>1269750</v>
      </c>
      <c r="D155" s="50">
        <v>10234</v>
      </c>
      <c r="E155" s="74">
        <v>3</v>
      </c>
      <c r="F155" s="77">
        <v>147.9</v>
      </c>
      <c r="G155" s="82">
        <v>8592696</v>
      </c>
      <c r="H155" s="83">
        <v>89374</v>
      </c>
      <c r="I155" s="89">
        <f t="shared" si="0"/>
        <v>1.0401159310186233E-2</v>
      </c>
      <c r="J155" s="86">
        <v>1.7212290000000002E-2</v>
      </c>
      <c r="K155" s="91">
        <f t="shared" si="7"/>
        <v>5.3097802634139268E-2</v>
      </c>
      <c r="L155" s="92">
        <f t="shared" si="8"/>
        <v>0.36998674020160321</v>
      </c>
      <c r="M155" s="92">
        <f t="shared" si="9"/>
        <v>0.42152576347128878</v>
      </c>
    </row>
    <row r="156" spans="2:13">
      <c r="B156" s="132">
        <v>32359233</v>
      </c>
      <c r="C156" s="132">
        <v>1269750</v>
      </c>
      <c r="D156" s="132">
        <v>10234</v>
      </c>
      <c r="E156" s="174">
        <v>1</v>
      </c>
      <c r="F156" s="175">
        <v>0.34</v>
      </c>
      <c r="G156" s="176">
        <v>0</v>
      </c>
      <c r="H156" s="177">
        <v>0</v>
      </c>
      <c r="I156" s="178" t="s">
        <v>40</v>
      </c>
      <c r="J156" s="179" t="s">
        <v>1</v>
      </c>
      <c r="K156" s="180">
        <f t="shared" si="7"/>
        <v>1.2206391410146959E-4</v>
      </c>
      <c r="L156" s="181">
        <f t="shared" si="8"/>
        <v>0</v>
      </c>
      <c r="M156" s="181">
        <f t="shared" si="9"/>
        <v>0</v>
      </c>
    </row>
    <row r="157" spans="2:13">
      <c r="B157" s="109">
        <v>32359233</v>
      </c>
      <c r="C157" s="109">
        <v>1269750</v>
      </c>
      <c r="D157" s="109">
        <v>10236</v>
      </c>
      <c r="E157" s="110">
        <v>3</v>
      </c>
      <c r="F157" s="111">
        <v>0.72</v>
      </c>
      <c r="G157" s="112">
        <v>64969</v>
      </c>
      <c r="H157" s="113">
        <v>452</v>
      </c>
      <c r="I157" s="115">
        <f t="shared" si="0"/>
        <v>6.957164185996398E-3</v>
      </c>
      <c r="J157" s="114">
        <v>1.108221E-2</v>
      </c>
      <c r="K157" s="116">
        <f t="shared" si="7"/>
        <v>2.5848828868546499E-4</v>
      </c>
      <c r="L157" s="117">
        <f t="shared" si="8"/>
        <v>2.7974536192317241E-3</v>
      </c>
      <c r="M157" s="117">
        <f t="shared" si="9"/>
        <v>2.1318240773493691E-3</v>
      </c>
    </row>
    <row r="158" spans="2:13">
      <c r="B158" s="50">
        <v>36011719</v>
      </c>
      <c r="C158" s="50">
        <v>1269750</v>
      </c>
      <c r="D158" s="50">
        <v>10224</v>
      </c>
      <c r="E158" s="74">
        <v>2</v>
      </c>
      <c r="F158" s="77">
        <v>11.16</v>
      </c>
      <c r="G158" s="82">
        <v>7901</v>
      </c>
      <c r="H158" s="83">
        <v>246</v>
      </c>
      <c r="I158" s="89">
        <f t="shared" si="0"/>
        <v>3.1135299329198837E-2</v>
      </c>
      <c r="J158" s="86">
        <v>1.4124794300000001</v>
      </c>
      <c r="K158" s="91">
        <f>F158/11.52</f>
        <v>0.96875</v>
      </c>
      <c r="L158" s="92">
        <f>G158/8159</f>
        <v>0.96837847775462682</v>
      </c>
      <c r="M158" s="92">
        <f>H158/263</f>
        <v>0.93536121673003803</v>
      </c>
    </row>
    <row r="159" spans="2:13">
      <c r="B159" s="50">
        <v>36011719</v>
      </c>
      <c r="C159" s="50">
        <v>1269750</v>
      </c>
      <c r="D159" s="50">
        <v>10236</v>
      </c>
      <c r="E159" s="74">
        <v>3</v>
      </c>
      <c r="F159" s="77">
        <v>0.36</v>
      </c>
      <c r="G159" s="82">
        <v>258</v>
      </c>
      <c r="H159" s="83">
        <v>17</v>
      </c>
      <c r="I159" s="89">
        <f t="shared" si="0"/>
        <v>6.589147286821706E-2</v>
      </c>
      <c r="J159" s="86">
        <v>1.39534884</v>
      </c>
      <c r="K159" s="91">
        <f>F159/11.52</f>
        <v>3.125E-2</v>
      </c>
      <c r="L159" s="92">
        <f>G159/8159</f>
        <v>3.1621522245373207E-2</v>
      </c>
      <c r="M159" s="92">
        <f>H159/263</f>
        <v>6.4638783269961975E-2</v>
      </c>
    </row>
    <row r="160" spans="2:13">
      <c r="B160" s="109">
        <v>42017814</v>
      </c>
      <c r="C160" s="109">
        <v>1269750</v>
      </c>
      <c r="D160" s="109">
        <v>10167</v>
      </c>
      <c r="E160" s="110">
        <v>2</v>
      </c>
      <c r="F160" s="111">
        <v>1.75</v>
      </c>
      <c r="G160" s="112">
        <v>3393</v>
      </c>
      <c r="H160" s="113">
        <v>4</v>
      </c>
      <c r="I160" s="115">
        <f t="shared" si="0"/>
        <v>1.1788977306218685E-3</v>
      </c>
      <c r="J160" s="114">
        <v>0.51576776000000002</v>
      </c>
      <c r="K160" s="116">
        <f>F160/71.62</f>
        <v>2.4434515498464114E-2</v>
      </c>
      <c r="L160" s="117">
        <f>G160/16683</f>
        <v>0.20338068692681172</v>
      </c>
      <c r="M160" s="117">
        <f>H160/85</f>
        <v>4.7058823529411764E-2</v>
      </c>
    </row>
    <row r="161" spans="2:13">
      <c r="B161" s="50">
        <v>42017814</v>
      </c>
      <c r="C161" s="50">
        <v>1269750</v>
      </c>
      <c r="D161" s="50">
        <v>10170</v>
      </c>
      <c r="E161" s="74">
        <v>18</v>
      </c>
      <c r="F161" s="77">
        <v>6.06</v>
      </c>
      <c r="G161" s="82">
        <v>294</v>
      </c>
      <c r="H161" s="83">
        <v>3</v>
      </c>
      <c r="I161" s="89">
        <f t="shared" si="0"/>
        <v>1.020408163265306E-2</v>
      </c>
      <c r="J161" s="86">
        <v>20.6122449</v>
      </c>
      <c r="K161" s="91">
        <f t="shared" ref="K161:K171" si="10">F161/71.62</f>
        <v>8.4613236526110011E-2</v>
      </c>
      <c r="L161" s="92">
        <f t="shared" ref="L161:L171" si="11">G161/16683</f>
        <v>1.7622729724869626E-2</v>
      </c>
      <c r="M161" s="92">
        <f t="shared" ref="M161:M171" si="12">H161/85</f>
        <v>3.5294117647058823E-2</v>
      </c>
    </row>
    <row r="162" spans="2:13">
      <c r="B162" s="119">
        <v>42017814</v>
      </c>
      <c r="C162" s="119">
        <v>1269750</v>
      </c>
      <c r="D162" s="119">
        <v>10170</v>
      </c>
      <c r="E162" s="120">
        <v>3</v>
      </c>
      <c r="F162" s="121">
        <v>2.02</v>
      </c>
      <c r="G162" s="122">
        <v>36</v>
      </c>
      <c r="H162" s="123">
        <v>2</v>
      </c>
      <c r="I162" s="89">
        <f t="shared" si="0"/>
        <v>5.5555555555555552E-2</v>
      </c>
      <c r="J162" s="124">
        <v>56.111111110000003</v>
      </c>
      <c r="K162" s="118">
        <f t="shared" si="10"/>
        <v>2.8204412175370008E-2</v>
      </c>
      <c r="L162" s="125">
        <f t="shared" si="11"/>
        <v>2.1578852724330158E-3</v>
      </c>
      <c r="M162" s="125">
        <f t="shared" si="12"/>
        <v>2.3529411764705882E-2</v>
      </c>
    </row>
    <row r="163" spans="2:13">
      <c r="B163" s="119">
        <v>42017814</v>
      </c>
      <c r="C163" s="119">
        <v>1269750</v>
      </c>
      <c r="D163" s="119">
        <v>10171</v>
      </c>
      <c r="E163" s="120">
        <v>12</v>
      </c>
      <c r="F163" s="121">
        <v>6.06</v>
      </c>
      <c r="G163" s="122">
        <v>82</v>
      </c>
      <c r="H163" s="123">
        <v>1</v>
      </c>
      <c r="I163" s="89">
        <f t="shared" si="0"/>
        <v>1.2195121951219513E-2</v>
      </c>
      <c r="J163" s="124">
        <v>73.902439020000003</v>
      </c>
      <c r="K163" s="118">
        <f t="shared" si="10"/>
        <v>8.4613236526110011E-2</v>
      </c>
      <c r="L163" s="125">
        <f t="shared" si="11"/>
        <v>4.9151831205418691E-3</v>
      </c>
      <c r="M163" s="125">
        <f t="shared" si="12"/>
        <v>1.1764705882352941E-2</v>
      </c>
    </row>
    <row r="164" spans="2:13">
      <c r="B164" s="119">
        <v>42017814</v>
      </c>
      <c r="C164" s="119">
        <v>1269750</v>
      </c>
      <c r="D164" s="119">
        <v>10171</v>
      </c>
      <c r="E164" s="120">
        <v>3</v>
      </c>
      <c r="F164" s="121">
        <v>2.02</v>
      </c>
      <c r="G164" s="122">
        <v>37</v>
      </c>
      <c r="H164" s="123">
        <v>1</v>
      </c>
      <c r="I164" s="89">
        <f t="shared" si="0"/>
        <v>2.7027027027027029E-2</v>
      </c>
      <c r="J164" s="124">
        <v>54.59459459</v>
      </c>
      <c r="K164" s="118">
        <f t="shared" si="10"/>
        <v>2.8204412175370008E-2</v>
      </c>
      <c r="L164" s="125">
        <f t="shared" si="11"/>
        <v>2.2178265300005994E-3</v>
      </c>
      <c r="M164" s="125">
        <f t="shared" si="12"/>
        <v>1.1764705882352941E-2</v>
      </c>
    </row>
    <row r="165" spans="2:13">
      <c r="B165" s="50">
        <v>42017814</v>
      </c>
      <c r="C165" s="50">
        <v>1269750</v>
      </c>
      <c r="D165" s="50">
        <v>10172</v>
      </c>
      <c r="E165" s="74">
        <v>12</v>
      </c>
      <c r="F165" s="77">
        <v>16.16</v>
      </c>
      <c r="G165" s="82">
        <v>1087</v>
      </c>
      <c r="H165" s="83">
        <v>15</v>
      </c>
      <c r="I165" s="89">
        <f t="shared" si="0"/>
        <v>1.3799448022079117E-2</v>
      </c>
      <c r="J165" s="86">
        <v>14.86660534</v>
      </c>
      <c r="K165" s="91">
        <f t="shared" si="10"/>
        <v>0.22563529740296007</v>
      </c>
      <c r="L165" s="92">
        <f t="shared" si="11"/>
        <v>6.5156146975963558E-2</v>
      </c>
      <c r="M165" s="92">
        <f t="shared" si="12"/>
        <v>0.17647058823529413</v>
      </c>
    </row>
    <row r="166" spans="2:13">
      <c r="B166" s="50">
        <v>42017814</v>
      </c>
      <c r="C166" s="50">
        <v>1269750</v>
      </c>
      <c r="D166" s="50">
        <v>10172</v>
      </c>
      <c r="E166" s="74">
        <v>3</v>
      </c>
      <c r="F166" s="77">
        <v>4.04</v>
      </c>
      <c r="G166" s="82">
        <v>154</v>
      </c>
      <c r="H166" s="83">
        <v>1</v>
      </c>
      <c r="I166" s="89">
        <f t="shared" si="0"/>
        <v>6.4935064935064939E-3</v>
      </c>
      <c r="J166" s="86">
        <v>26.233766230000001</v>
      </c>
      <c r="K166" s="91">
        <f t="shared" si="10"/>
        <v>5.6408824350740017E-2</v>
      </c>
      <c r="L166" s="92">
        <f t="shared" si="11"/>
        <v>9.2309536654079007E-3</v>
      </c>
      <c r="M166" s="92">
        <f t="shared" si="12"/>
        <v>1.1764705882352941E-2</v>
      </c>
    </row>
    <row r="167" spans="2:13">
      <c r="B167" s="50">
        <v>42017814</v>
      </c>
      <c r="C167" s="50">
        <v>1269750</v>
      </c>
      <c r="D167" s="50">
        <v>10173</v>
      </c>
      <c r="E167" s="74">
        <v>12</v>
      </c>
      <c r="F167" s="77">
        <v>10.1</v>
      </c>
      <c r="G167" s="82">
        <v>979</v>
      </c>
      <c r="H167" s="83">
        <v>12</v>
      </c>
      <c r="I167" s="89">
        <f t="shared" si="0"/>
        <v>1.2257405515832482E-2</v>
      </c>
      <c r="J167" s="86">
        <v>10.31664964</v>
      </c>
      <c r="K167" s="91">
        <f t="shared" si="10"/>
        <v>0.14102206087685004</v>
      </c>
      <c r="L167" s="92">
        <f t="shared" si="11"/>
        <v>5.8682491158664508E-2</v>
      </c>
      <c r="M167" s="92">
        <f t="shared" si="12"/>
        <v>0.14117647058823529</v>
      </c>
    </row>
    <row r="168" spans="2:13">
      <c r="B168" s="50">
        <v>42017814</v>
      </c>
      <c r="C168" s="50">
        <v>1269750</v>
      </c>
      <c r="D168" s="50">
        <v>10176</v>
      </c>
      <c r="E168" s="74">
        <v>15</v>
      </c>
      <c r="F168" s="77">
        <v>14.19</v>
      </c>
      <c r="G168" s="82">
        <v>230</v>
      </c>
      <c r="H168" s="83">
        <v>1</v>
      </c>
      <c r="I168" s="89">
        <f t="shared" si="0"/>
        <v>4.3478260869565218E-3</v>
      </c>
      <c r="J168" s="86">
        <v>61.695652170000002</v>
      </c>
      <c r="K168" s="91">
        <f t="shared" si="10"/>
        <v>0.19812901424183188</v>
      </c>
      <c r="L168" s="92">
        <f t="shared" si="11"/>
        <v>1.3786489240544266E-2</v>
      </c>
      <c r="M168" s="92">
        <f t="shared" si="12"/>
        <v>1.1764705882352941E-2</v>
      </c>
    </row>
    <row r="169" spans="2:13">
      <c r="B169" s="119">
        <v>42017814</v>
      </c>
      <c r="C169" s="119">
        <v>1269750</v>
      </c>
      <c r="D169" s="119">
        <v>10187</v>
      </c>
      <c r="E169" s="120">
        <v>5</v>
      </c>
      <c r="F169" s="121">
        <v>2.02</v>
      </c>
      <c r="G169" s="122">
        <v>45</v>
      </c>
      <c r="H169" s="123">
        <v>2</v>
      </c>
      <c r="I169" s="89">
        <f t="shared" si="0"/>
        <v>4.4444444444444446E-2</v>
      </c>
      <c r="J169" s="124">
        <v>44.888888889999997</v>
      </c>
      <c r="K169" s="118">
        <f t="shared" si="10"/>
        <v>2.8204412175370008E-2</v>
      </c>
      <c r="L169" s="125">
        <f t="shared" si="11"/>
        <v>2.6973565905412697E-3</v>
      </c>
      <c r="M169" s="125">
        <f t="shared" si="12"/>
        <v>2.3529411764705882E-2</v>
      </c>
    </row>
    <row r="170" spans="2:13">
      <c r="B170" s="119">
        <v>42017814</v>
      </c>
      <c r="C170" s="119">
        <v>1269750</v>
      </c>
      <c r="D170" s="119">
        <v>10224</v>
      </c>
      <c r="E170" s="120">
        <v>3</v>
      </c>
      <c r="F170" s="121">
        <v>2.44</v>
      </c>
      <c r="G170" s="122">
        <v>654</v>
      </c>
      <c r="H170" s="123">
        <v>4</v>
      </c>
      <c r="I170" s="89">
        <f t="shared" si="0"/>
        <v>6.1162079510703364E-3</v>
      </c>
      <c r="J170" s="124">
        <v>3.7308868500000001</v>
      </c>
      <c r="K170" s="118">
        <f t="shared" si="10"/>
        <v>3.4068695895001395E-2</v>
      </c>
      <c r="L170" s="125">
        <f t="shared" si="11"/>
        <v>3.9201582449199787E-2</v>
      </c>
      <c r="M170" s="125">
        <f t="shared" si="12"/>
        <v>4.7058823529411764E-2</v>
      </c>
    </row>
    <row r="171" spans="2:13">
      <c r="B171" s="50">
        <v>42017814</v>
      </c>
      <c r="C171" s="50">
        <v>1269750</v>
      </c>
      <c r="D171" s="50">
        <v>10234</v>
      </c>
      <c r="E171" s="74">
        <v>2</v>
      </c>
      <c r="F171" s="77">
        <v>4.76</v>
      </c>
      <c r="G171" s="82">
        <v>9692</v>
      </c>
      <c r="H171" s="83">
        <v>39</v>
      </c>
      <c r="I171" s="89">
        <f t="shared" si="0"/>
        <v>4.0239372678497727E-3</v>
      </c>
      <c r="J171" s="86">
        <v>0.49112670000000003</v>
      </c>
      <c r="K171" s="91">
        <f t="shared" si="10"/>
        <v>6.6461882155822383E-2</v>
      </c>
      <c r="L171" s="92">
        <f t="shared" si="11"/>
        <v>0.58095066834502185</v>
      </c>
      <c r="M171" s="92">
        <f t="shared" si="12"/>
        <v>0.45882352941176469</v>
      </c>
    </row>
    <row r="172" spans="2:13">
      <c r="B172" s="109">
        <v>43346372</v>
      </c>
      <c r="C172" s="109">
        <v>1269750</v>
      </c>
      <c r="D172" s="109">
        <v>10168</v>
      </c>
      <c r="E172" s="110">
        <v>7</v>
      </c>
      <c r="F172" s="111">
        <v>8.1199999999999992</v>
      </c>
      <c r="G172" s="112">
        <v>92</v>
      </c>
      <c r="H172" s="113">
        <v>8</v>
      </c>
      <c r="I172" s="115">
        <f t="shared" si="0"/>
        <v>8.6956521739130432E-2</v>
      </c>
      <c r="J172" s="114">
        <v>88.260869569999997</v>
      </c>
      <c r="K172" s="116">
        <f>F172/496.27</f>
        <v>1.6362060974872548E-2</v>
      </c>
      <c r="L172" s="117">
        <f>G172/13065932</f>
        <v>7.0412122150949511E-6</v>
      </c>
      <c r="M172" s="117">
        <f>H172/2282136</f>
        <v>3.5054878412154229E-6</v>
      </c>
    </row>
    <row r="173" spans="2:13">
      <c r="B173" s="109">
        <v>43346372</v>
      </c>
      <c r="C173" s="109">
        <v>1269750</v>
      </c>
      <c r="D173" s="109">
        <v>10176</v>
      </c>
      <c r="E173" s="110">
        <v>2</v>
      </c>
      <c r="F173" s="111">
        <v>4.7300000000000004</v>
      </c>
      <c r="G173" s="112">
        <v>119</v>
      </c>
      <c r="H173" s="113">
        <v>19</v>
      </c>
      <c r="I173" s="115">
        <f t="shared" si="0"/>
        <v>0.15966386554621848</v>
      </c>
      <c r="J173" s="114">
        <v>39.747899160000003</v>
      </c>
      <c r="K173" s="116">
        <f t="shared" ref="K173:K179" si="13">F173/496.27</f>
        <v>9.5311020210772368E-3</v>
      </c>
      <c r="L173" s="117">
        <f t="shared" ref="L173:L179" si="14">G173/13065932</f>
        <v>9.1076549303945554E-6</v>
      </c>
      <c r="M173" s="117">
        <f t="shared" ref="M173:M179" si="15">H173/2282136</f>
        <v>8.3255336228866287E-6</v>
      </c>
    </row>
    <row r="174" spans="2:13">
      <c r="B174" s="109">
        <v>43346372</v>
      </c>
      <c r="C174" s="109">
        <v>1269750</v>
      </c>
      <c r="D174" s="109">
        <v>10187</v>
      </c>
      <c r="E174" s="110">
        <v>4</v>
      </c>
      <c r="F174" s="111">
        <v>8.08</v>
      </c>
      <c r="G174" s="112">
        <v>623</v>
      </c>
      <c r="H174" s="113">
        <v>94</v>
      </c>
      <c r="I174" s="115">
        <f t="shared" si="0"/>
        <v>0.1508828250401284</v>
      </c>
      <c r="J174" s="114">
        <v>12.96950241</v>
      </c>
      <c r="K174" s="116">
        <f t="shared" si="13"/>
        <v>1.6281459689282046E-2</v>
      </c>
      <c r="L174" s="117">
        <f t="shared" si="14"/>
        <v>4.7681252282653853E-5</v>
      </c>
      <c r="M174" s="117">
        <f t="shared" si="15"/>
        <v>4.1189482134281217E-5</v>
      </c>
    </row>
    <row r="175" spans="2:13">
      <c r="B175" s="109">
        <v>43346372</v>
      </c>
      <c r="C175" s="109">
        <v>1269750</v>
      </c>
      <c r="D175" s="109">
        <v>10188</v>
      </c>
      <c r="E175" s="110">
        <v>4</v>
      </c>
      <c r="F175" s="111">
        <v>2.02</v>
      </c>
      <c r="G175" s="112">
        <v>37</v>
      </c>
      <c r="H175" s="113">
        <v>10</v>
      </c>
      <c r="I175" s="115">
        <f t="shared" si="0"/>
        <v>0.27027027027027029</v>
      </c>
      <c r="J175" s="114">
        <v>54.59459459</v>
      </c>
      <c r="K175" s="116">
        <f t="shared" si="13"/>
        <v>4.0703649223205116E-3</v>
      </c>
      <c r="L175" s="117">
        <f t="shared" si="14"/>
        <v>2.8317918691142738E-6</v>
      </c>
      <c r="M175" s="117">
        <f t="shared" si="15"/>
        <v>4.3818598015192783E-6</v>
      </c>
    </row>
    <row r="176" spans="2:13">
      <c r="B176" s="50">
        <v>43346372</v>
      </c>
      <c r="C176" s="50">
        <v>1269750</v>
      </c>
      <c r="D176" s="50">
        <v>10224</v>
      </c>
      <c r="E176" s="74">
        <v>4</v>
      </c>
      <c r="F176" s="77">
        <v>233.02</v>
      </c>
      <c r="G176" s="82">
        <v>11851941</v>
      </c>
      <c r="H176" s="83">
        <v>541311</v>
      </c>
      <c r="I176" s="89">
        <f t="shared" si="0"/>
        <v>4.567277208011751E-2</v>
      </c>
      <c r="J176" s="86">
        <v>0.19660916000000001</v>
      </c>
      <c r="K176" s="91">
        <f t="shared" si="13"/>
        <v>0.46954278920748788</v>
      </c>
      <c r="L176" s="92">
        <f t="shared" si="14"/>
        <v>0.9070873015411377</v>
      </c>
      <c r="M176" s="92">
        <f t="shared" si="15"/>
        <v>0.23719489110202022</v>
      </c>
    </row>
    <row r="177" spans="2:13">
      <c r="B177" s="50">
        <v>43346372</v>
      </c>
      <c r="C177" s="50">
        <v>1269750</v>
      </c>
      <c r="D177" s="50">
        <v>10224</v>
      </c>
      <c r="E177" s="74">
        <v>8</v>
      </c>
      <c r="F177" s="77">
        <v>140.30000000000001</v>
      </c>
      <c r="G177" s="82">
        <v>680189</v>
      </c>
      <c r="H177" s="83">
        <v>89189</v>
      </c>
      <c r="I177" s="89">
        <f t="shared" si="0"/>
        <v>0.13112384940068128</v>
      </c>
      <c r="J177" s="86">
        <v>0.20626620000000001</v>
      </c>
      <c r="K177" s="91">
        <f t="shared" si="13"/>
        <v>0.2827090092086969</v>
      </c>
      <c r="L177" s="92">
        <f t="shared" si="14"/>
        <v>5.2058207558404561E-2</v>
      </c>
      <c r="M177" s="92">
        <f t="shared" si="15"/>
        <v>3.9081369383770291E-2</v>
      </c>
    </row>
    <row r="178" spans="2:13">
      <c r="B178" s="50">
        <v>43346372</v>
      </c>
      <c r="C178" s="50">
        <v>1269750</v>
      </c>
      <c r="D178" s="50">
        <v>10224</v>
      </c>
      <c r="E178" s="74">
        <v>9</v>
      </c>
      <c r="F178" s="77">
        <v>90.28</v>
      </c>
      <c r="G178" s="82">
        <v>481768</v>
      </c>
      <c r="H178" s="83">
        <v>74866</v>
      </c>
      <c r="I178" s="89">
        <f t="shared" si="0"/>
        <v>0.15539844904601385</v>
      </c>
      <c r="J178" s="86">
        <v>0.18739310000000001</v>
      </c>
      <c r="K178" s="91">
        <f t="shared" si="13"/>
        <v>0.18191710157777016</v>
      </c>
      <c r="L178" s="92">
        <f t="shared" si="14"/>
        <v>3.6872073113498521E-2</v>
      </c>
      <c r="M178" s="92">
        <f t="shared" si="15"/>
        <v>3.2805231590054232E-2</v>
      </c>
    </row>
    <row r="179" spans="2:13">
      <c r="B179" s="109">
        <v>43346372</v>
      </c>
      <c r="C179" s="109">
        <v>1269750</v>
      </c>
      <c r="D179" s="109">
        <v>10236</v>
      </c>
      <c r="E179" s="110">
        <v>1</v>
      </c>
      <c r="F179" s="111">
        <v>9.7200000000000006</v>
      </c>
      <c r="G179" s="112">
        <v>51163</v>
      </c>
      <c r="H179" s="113">
        <v>9903</v>
      </c>
      <c r="I179" s="115">
        <f t="shared" si="0"/>
        <v>0.19355784453609054</v>
      </c>
      <c r="J179" s="114">
        <v>0.18998103999999999</v>
      </c>
      <c r="K179" s="116">
        <f t="shared" si="13"/>
        <v>1.9586112398492759E-2</v>
      </c>
      <c r="L179" s="117">
        <f t="shared" si="14"/>
        <v>3.915755875661989E-3</v>
      </c>
      <c r="M179" s="117">
        <f t="shared" si="15"/>
        <v>4.3393557614445416E-3</v>
      </c>
    </row>
    <row r="180" spans="2:13">
      <c r="B180" s="132">
        <v>43480563</v>
      </c>
      <c r="C180" s="132">
        <v>1269750</v>
      </c>
      <c r="D180" s="132">
        <v>10210</v>
      </c>
      <c r="E180" s="174">
        <v>4</v>
      </c>
      <c r="F180" s="175">
        <v>3.9E-2</v>
      </c>
      <c r="G180" s="176">
        <v>0</v>
      </c>
      <c r="H180" s="177">
        <v>0</v>
      </c>
      <c r="I180" s="178" t="s">
        <v>40</v>
      </c>
      <c r="J180" s="179" t="s">
        <v>1</v>
      </c>
      <c r="K180" s="180">
        <f>F180/33.375</f>
        <v>1.1685393258426967E-3</v>
      </c>
      <c r="L180" s="181">
        <f>G180/287971</f>
        <v>0</v>
      </c>
      <c r="M180" s="181">
        <f>H180/3404</f>
        <v>0</v>
      </c>
    </row>
    <row r="181" spans="2:13">
      <c r="B181" s="50">
        <v>43480563</v>
      </c>
      <c r="C181" s="50">
        <v>1269750</v>
      </c>
      <c r="D181" s="50">
        <v>10224</v>
      </c>
      <c r="E181" s="74">
        <v>7</v>
      </c>
      <c r="F181" s="77">
        <v>14.03</v>
      </c>
      <c r="G181" s="82">
        <v>26341</v>
      </c>
      <c r="H181" s="83">
        <v>411</v>
      </c>
      <c r="I181" s="89">
        <f t="shared" si="0"/>
        <v>1.5603052275919668E-2</v>
      </c>
      <c r="J181" s="86">
        <v>0.53262973999999996</v>
      </c>
      <c r="K181" s="91">
        <f t="shared" ref="K181:K183" si="16">F181/33.375</f>
        <v>0.42037453183520596</v>
      </c>
      <c r="L181" s="92">
        <f t="shared" ref="L181:L183" si="17">G181/287971</f>
        <v>9.1471016178712436E-2</v>
      </c>
      <c r="M181" s="92">
        <f t="shared" ref="M181:M183" si="18">H181/3404</f>
        <v>0.12074030552291422</v>
      </c>
    </row>
    <row r="182" spans="2:13">
      <c r="B182" s="132">
        <v>43480563</v>
      </c>
      <c r="C182" s="132">
        <v>1269750</v>
      </c>
      <c r="D182" s="132">
        <v>10231</v>
      </c>
      <c r="E182" s="174">
        <v>3</v>
      </c>
      <c r="F182" s="175">
        <v>0.14699999999999999</v>
      </c>
      <c r="G182" s="176">
        <v>0</v>
      </c>
      <c r="H182" s="177">
        <v>0</v>
      </c>
      <c r="I182" s="178" t="s">
        <v>40</v>
      </c>
      <c r="J182" s="179" t="s">
        <v>1</v>
      </c>
      <c r="K182" s="180">
        <f t="shared" si="16"/>
        <v>4.4044943820224719E-3</v>
      </c>
      <c r="L182" s="181">
        <f t="shared" si="17"/>
        <v>0</v>
      </c>
      <c r="M182" s="181">
        <f t="shared" si="18"/>
        <v>0</v>
      </c>
    </row>
    <row r="183" spans="2:13">
      <c r="B183" s="50">
        <v>43480563</v>
      </c>
      <c r="C183" s="50">
        <v>1269750</v>
      </c>
      <c r="D183" s="50">
        <v>10232</v>
      </c>
      <c r="E183" s="74">
        <v>4</v>
      </c>
      <c r="F183" s="77">
        <v>19.158999999999999</v>
      </c>
      <c r="G183" s="82">
        <v>261630</v>
      </c>
      <c r="H183" s="83">
        <v>2993</v>
      </c>
      <c r="I183" s="89">
        <f t="shared" si="0"/>
        <v>1.1439819592554371E-2</v>
      </c>
      <c r="J183" s="86">
        <v>7.3229370000000002E-2</v>
      </c>
      <c r="K183" s="91">
        <f t="shared" si="16"/>
        <v>0.57405243445692877</v>
      </c>
      <c r="L183" s="92">
        <f t="shared" si="17"/>
        <v>0.90852898382128755</v>
      </c>
      <c r="M183" s="92">
        <f t="shared" si="18"/>
        <v>0.87925969447708574</v>
      </c>
    </row>
    <row r="184" spans="2:13">
      <c r="B184" s="132">
        <v>52065646</v>
      </c>
      <c r="C184" s="132">
        <v>1269750</v>
      </c>
      <c r="D184" s="132">
        <v>10202</v>
      </c>
      <c r="E184" s="174">
        <v>3</v>
      </c>
      <c r="F184" s="175">
        <v>0.14299999999999999</v>
      </c>
      <c r="G184" s="176">
        <v>0</v>
      </c>
      <c r="H184" s="177">
        <v>0</v>
      </c>
      <c r="I184" s="178" t="s">
        <v>40</v>
      </c>
      <c r="J184" s="179" t="s">
        <v>1</v>
      </c>
      <c r="K184" s="180">
        <f>F184/3.25</f>
        <v>4.3999999999999997E-2</v>
      </c>
      <c r="L184" s="181">
        <f>G184/247*100</f>
        <v>0</v>
      </c>
      <c r="M184" s="181">
        <f>H184/13*100</f>
        <v>0</v>
      </c>
    </row>
    <row r="185" spans="2:13">
      <c r="B185" s="50">
        <v>52065646</v>
      </c>
      <c r="C185" s="50">
        <v>1269750</v>
      </c>
      <c r="D185" s="50">
        <v>10224</v>
      </c>
      <c r="E185" s="74">
        <v>2</v>
      </c>
      <c r="F185" s="77">
        <v>3.1</v>
      </c>
      <c r="G185" s="82">
        <v>247</v>
      </c>
      <c r="H185" s="83">
        <v>13</v>
      </c>
      <c r="I185" s="89">
        <f t="shared" si="0"/>
        <v>5.2631578947368418E-2</v>
      </c>
      <c r="J185" s="86">
        <v>12.55060729</v>
      </c>
      <c r="K185" s="91">
        <f>F185/3.25</f>
        <v>0.9538461538461539</v>
      </c>
      <c r="L185" s="92">
        <f>G185/247</f>
        <v>1</v>
      </c>
      <c r="M185" s="92">
        <f>H185/13</f>
        <v>1</v>
      </c>
    </row>
    <row r="186" spans="2:13">
      <c r="B186" s="132">
        <v>52065646</v>
      </c>
      <c r="C186" s="132">
        <v>1269750</v>
      </c>
      <c r="D186" s="132">
        <v>10231</v>
      </c>
      <c r="E186" s="174">
        <v>2</v>
      </c>
      <c r="F186" s="175">
        <v>7.0000000000000001E-3</v>
      </c>
      <c r="G186" s="176">
        <v>0</v>
      </c>
      <c r="H186" s="177">
        <v>0</v>
      </c>
      <c r="I186" s="178" t="s">
        <v>40</v>
      </c>
      <c r="J186" s="179" t="s">
        <v>1</v>
      </c>
      <c r="K186" s="180">
        <f>F186/3.25</f>
        <v>2.1538461538461538E-3</v>
      </c>
      <c r="L186" s="181">
        <f>G186/247</f>
        <v>0</v>
      </c>
      <c r="M186" s="181">
        <f>H186/13</f>
        <v>0</v>
      </c>
    </row>
    <row r="187" spans="2:13">
      <c r="B187" s="109">
        <v>55107008</v>
      </c>
      <c r="C187" s="109">
        <v>1269750</v>
      </c>
      <c r="D187" s="109">
        <v>10167</v>
      </c>
      <c r="E187" s="110">
        <v>1</v>
      </c>
      <c r="F187" s="111">
        <v>24.5</v>
      </c>
      <c r="G187" s="112">
        <v>198619</v>
      </c>
      <c r="H187" s="113">
        <v>19411</v>
      </c>
      <c r="I187" s="115">
        <f t="shared" si="0"/>
        <v>9.7729824437742613E-2</v>
      </c>
      <c r="J187" s="114">
        <v>0.12335174</v>
      </c>
      <c r="K187" s="116">
        <f>F187/2277.28</f>
        <v>1.075844867561301E-2</v>
      </c>
      <c r="L187" s="117">
        <f>G187/63712746</f>
        <v>3.1174139001951037E-3</v>
      </c>
      <c r="M187" s="117">
        <f>H187/289217</f>
        <v>6.71156951354865E-2</v>
      </c>
    </row>
    <row r="188" spans="2:13">
      <c r="B188" s="109">
        <v>55107008</v>
      </c>
      <c r="C188" s="109">
        <v>1269750</v>
      </c>
      <c r="D188" s="109">
        <v>10168</v>
      </c>
      <c r="E188" s="110">
        <v>1</v>
      </c>
      <c r="F188" s="111">
        <v>24.36</v>
      </c>
      <c r="G188" s="112">
        <v>2136</v>
      </c>
      <c r="H188" s="113">
        <v>96</v>
      </c>
      <c r="I188" s="115">
        <f t="shared" si="0"/>
        <v>4.49438202247191E-2</v>
      </c>
      <c r="J188" s="114">
        <v>11.404494379999999</v>
      </c>
      <c r="K188" s="116">
        <f t="shared" ref="K188:K211" si="19">F188/2277.28</f>
        <v>1.069697182603808E-2</v>
      </c>
      <c r="L188" s="117">
        <f t="shared" ref="L188:L211" si="20">G188/63712746</f>
        <v>3.3525473851025036E-5</v>
      </c>
      <c r="M188" s="117">
        <f t="shared" ref="M188:M211" si="21">H188/289217</f>
        <v>3.3193069563684015E-4</v>
      </c>
    </row>
    <row r="189" spans="2:13">
      <c r="B189" s="109">
        <v>55107008</v>
      </c>
      <c r="C189" s="109">
        <v>1269750</v>
      </c>
      <c r="D189" s="109">
        <v>10168</v>
      </c>
      <c r="E189" s="110">
        <v>14</v>
      </c>
      <c r="F189" s="111">
        <v>24.36</v>
      </c>
      <c r="G189" s="112">
        <v>1712</v>
      </c>
      <c r="H189" s="113">
        <v>91</v>
      </c>
      <c r="I189" s="115">
        <f t="shared" ref="I189:I226" si="22">H189/G189</f>
        <v>5.3154205607476634E-2</v>
      </c>
      <c r="J189" s="114">
        <v>14.228971960000001</v>
      </c>
      <c r="K189" s="116">
        <f t="shared" si="19"/>
        <v>1.069697182603808E-2</v>
      </c>
      <c r="L189" s="117">
        <f t="shared" si="20"/>
        <v>2.6870604509810328E-5</v>
      </c>
      <c r="M189" s="117">
        <f t="shared" si="21"/>
        <v>3.1464263857242141E-4</v>
      </c>
    </row>
    <row r="190" spans="2:13">
      <c r="B190" s="119">
        <v>55107008</v>
      </c>
      <c r="C190" s="119">
        <v>1269750</v>
      </c>
      <c r="D190" s="119">
        <v>10169</v>
      </c>
      <c r="E190" s="120">
        <v>1</v>
      </c>
      <c r="F190" s="121">
        <v>64.92</v>
      </c>
      <c r="G190" s="122">
        <v>10867</v>
      </c>
      <c r="H190" s="123">
        <v>457</v>
      </c>
      <c r="I190" s="89">
        <f t="shared" si="22"/>
        <v>4.2053924726235391E-2</v>
      </c>
      <c r="J190" s="124">
        <v>5.9740498799999999</v>
      </c>
      <c r="K190" s="118">
        <f t="shared" si="19"/>
        <v>2.8507693388603948E-2</v>
      </c>
      <c r="L190" s="125">
        <f t="shared" si="20"/>
        <v>1.7056241776174582E-4</v>
      </c>
      <c r="M190" s="125">
        <f t="shared" si="21"/>
        <v>1.5801284156878744E-3</v>
      </c>
    </row>
    <row r="191" spans="2:13">
      <c r="B191" s="109">
        <v>55107008</v>
      </c>
      <c r="C191" s="109">
        <v>1269750</v>
      </c>
      <c r="D191" s="109">
        <v>10169</v>
      </c>
      <c r="E191" s="110">
        <v>12</v>
      </c>
      <c r="F191" s="111">
        <v>10.82</v>
      </c>
      <c r="G191" s="112">
        <v>1863</v>
      </c>
      <c r="H191" s="113">
        <v>105</v>
      </c>
      <c r="I191" s="115">
        <f t="shared" si="22"/>
        <v>5.6360708534621579E-2</v>
      </c>
      <c r="J191" s="114">
        <v>5.8078368200000003</v>
      </c>
      <c r="K191" s="116">
        <f t="shared" si="19"/>
        <v>4.7512822314339908E-3</v>
      </c>
      <c r="L191" s="117">
        <f t="shared" si="20"/>
        <v>2.9240616940290095E-5</v>
      </c>
      <c r="M191" s="117">
        <f t="shared" si="21"/>
        <v>3.6304919835279393E-4</v>
      </c>
    </row>
    <row r="192" spans="2:13">
      <c r="B192" s="109">
        <v>55107008</v>
      </c>
      <c r="C192" s="109">
        <v>1269750</v>
      </c>
      <c r="D192" s="109">
        <v>10170</v>
      </c>
      <c r="E192" s="110">
        <v>11</v>
      </c>
      <c r="F192" s="111">
        <v>22.22</v>
      </c>
      <c r="G192" s="112">
        <v>13895</v>
      </c>
      <c r="H192" s="113">
        <v>983</v>
      </c>
      <c r="I192" s="115">
        <f t="shared" si="22"/>
        <v>7.0744872256207264E-2</v>
      </c>
      <c r="J192" s="114">
        <v>1.59913638</v>
      </c>
      <c r="K192" s="116">
        <f t="shared" si="19"/>
        <v>9.7572542682498407E-3</v>
      </c>
      <c r="L192" s="117">
        <f t="shared" si="20"/>
        <v>2.1808822994381691E-4</v>
      </c>
      <c r="M192" s="117">
        <f t="shared" si="21"/>
        <v>3.398832018864728E-3</v>
      </c>
    </row>
    <row r="193" spans="2:13">
      <c r="B193" s="109">
        <v>55107008</v>
      </c>
      <c r="C193" s="109">
        <v>1269750</v>
      </c>
      <c r="D193" s="109">
        <v>10170</v>
      </c>
      <c r="E193" s="110">
        <v>1</v>
      </c>
      <c r="F193" s="111">
        <v>10.1</v>
      </c>
      <c r="G193" s="112">
        <v>2634</v>
      </c>
      <c r="H193" s="113">
        <v>141</v>
      </c>
      <c r="I193" s="115">
        <f t="shared" si="22"/>
        <v>5.3530751708428248E-2</v>
      </c>
      <c r="J193" s="114">
        <v>3.8344722899999999</v>
      </c>
      <c r="K193" s="116">
        <f t="shared" si="19"/>
        <v>4.4351155764772001E-3</v>
      </c>
      <c r="L193" s="117">
        <f t="shared" si="20"/>
        <v>4.1341806237640427E-5</v>
      </c>
      <c r="M193" s="117">
        <f t="shared" si="21"/>
        <v>4.87523209216609E-4</v>
      </c>
    </row>
    <row r="194" spans="2:13">
      <c r="B194" s="109">
        <v>55107008</v>
      </c>
      <c r="C194" s="109">
        <v>1269750</v>
      </c>
      <c r="D194" s="109">
        <v>10171</v>
      </c>
      <c r="E194" s="110">
        <v>11</v>
      </c>
      <c r="F194" s="111">
        <v>2.04</v>
      </c>
      <c r="G194" s="112">
        <v>282</v>
      </c>
      <c r="H194" s="113">
        <v>18</v>
      </c>
      <c r="I194" s="115">
        <f t="shared" si="22"/>
        <v>6.3829787234042548E-2</v>
      </c>
      <c r="J194" s="114">
        <v>7.2340425499999998</v>
      </c>
      <c r="K194" s="116">
        <f t="shared" si="19"/>
        <v>8.9580552237757322E-4</v>
      </c>
      <c r="L194" s="117">
        <f t="shared" si="20"/>
        <v>4.4261159297701591E-6</v>
      </c>
      <c r="M194" s="117">
        <f t="shared" si="21"/>
        <v>6.2237005431907535E-5</v>
      </c>
    </row>
    <row r="195" spans="2:13">
      <c r="B195" s="109">
        <v>55107008</v>
      </c>
      <c r="C195" s="109">
        <v>1269750</v>
      </c>
      <c r="D195" s="109">
        <v>10172</v>
      </c>
      <c r="E195" s="110">
        <v>11</v>
      </c>
      <c r="F195" s="111">
        <v>30.3</v>
      </c>
      <c r="G195" s="112">
        <v>19875</v>
      </c>
      <c r="H195" s="113">
        <v>1368</v>
      </c>
      <c r="I195" s="115">
        <f t="shared" si="22"/>
        <v>6.8830188679245285E-2</v>
      </c>
      <c r="J195" s="114">
        <v>1.5245283000000001</v>
      </c>
      <c r="K195" s="116">
        <f t="shared" si="19"/>
        <v>1.3305346729431601E-2</v>
      </c>
      <c r="L195" s="117">
        <f t="shared" si="20"/>
        <v>3.1194700036943942E-4</v>
      </c>
      <c r="M195" s="117">
        <f t="shared" si="21"/>
        <v>4.7300124128249726E-3</v>
      </c>
    </row>
    <row r="196" spans="2:13">
      <c r="B196" s="109">
        <v>55107008</v>
      </c>
      <c r="C196" s="109">
        <v>1269750</v>
      </c>
      <c r="D196" s="109">
        <v>10173</v>
      </c>
      <c r="E196" s="110">
        <v>11</v>
      </c>
      <c r="F196" s="111">
        <v>10.1</v>
      </c>
      <c r="G196" s="112">
        <v>5560</v>
      </c>
      <c r="H196" s="113">
        <v>384</v>
      </c>
      <c r="I196" s="115">
        <f t="shared" si="22"/>
        <v>6.9064748201438847E-2</v>
      </c>
      <c r="J196" s="114">
        <v>1.81654676</v>
      </c>
      <c r="K196" s="116">
        <f t="shared" si="19"/>
        <v>4.4351155764772001E-3</v>
      </c>
      <c r="L196" s="117">
        <f t="shared" si="20"/>
        <v>8.7266682870645691E-5</v>
      </c>
      <c r="M196" s="117">
        <f t="shared" si="21"/>
        <v>1.3277227825473606E-3</v>
      </c>
    </row>
    <row r="197" spans="2:13">
      <c r="B197" s="109">
        <v>55107008</v>
      </c>
      <c r="C197" s="109">
        <v>1269750</v>
      </c>
      <c r="D197" s="109">
        <v>10174</v>
      </c>
      <c r="E197" s="110">
        <v>11</v>
      </c>
      <c r="F197" s="111">
        <v>23.7</v>
      </c>
      <c r="G197" s="112">
        <v>2731</v>
      </c>
      <c r="H197" s="113">
        <v>180</v>
      </c>
      <c r="I197" s="115">
        <f t="shared" si="22"/>
        <v>6.590992310508971E-2</v>
      </c>
      <c r="J197" s="114">
        <v>8.6781398799999998</v>
      </c>
      <c r="K197" s="116">
        <f t="shared" si="19"/>
        <v>1.0407152392327689E-2</v>
      </c>
      <c r="L197" s="117">
        <f t="shared" si="20"/>
        <v>4.2864264553908885E-5</v>
      </c>
      <c r="M197" s="117">
        <f t="shared" si="21"/>
        <v>6.223700543190753E-4</v>
      </c>
    </row>
    <row r="198" spans="2:13">
      <c r="B198" s="109">
        <v>55107008</v>
      </c>
      <c r="C198" s="109">
        <v>1269750</v>
      </c>
      <c r="D198" s="109">
        <v>10174</v>
      </c>
      <c r="E198" s="110">
        <v>1</v>
      </c>
      <c r="F198" s="111">
        <v>14.22</v>
      </c>
      <c r="G198" s="112">
        <v>2629</v>
      </c>
      <c r="H198" s="113">
        <v>150</v>
      </c>
      <c r="I198" s="115">
        <f t="shared" si="22"/>
        <v>5.7055914796500573E-2</v>
      </c>
      <c r="J198" s="114">
        <v>5.4089007200000001</v>
      </c>
      <c r="K198" s="116">
        <f t="shared" si="19"/>
        <v>6.2442914353966136E-3</v>
      </c>
      <c r="L198" s="117">
        <f t="shared" si="20"/>
        <v>4.1263329004843078E-5</v>
      </c>
      <c r="M198" s="117">
        <f t="shared" si="21"/>
        <v>5.1864171193256273E-4</v>
      </c>
    </row>
    <row r="199" spans="2:13">
      <c r="B199" s="50">
        <v>55107008</v>
      </c>
      <c r="C199" s="50">
        <v>1269750</v>
      </c>
      <c r="D199" s="50">
        <v>10176</v>
      </c>
      <c r="E199" s="74">
        <v>14</v>
      </c>
      <c r="F199" s="77">
        <v>231.77</v>
      </c>
      <c r="G199" s="82">
        <v>148563</v>
      </c>
      <c r="H199" s="83">
        <v>10208</v>
      </c>
      <c r="I199" s="89">
        <f t="shared" si="22"/>
        <v>6.8711590369069014E-2</v>
      </c>
      <c r="J199" s="86">
        <v>1.56007889</v>
      </c>
      <c r="K199" s="118">
        <f t="shared" si="19"/>
        <v>0.10177492447129909</v>
      </c>
      <c r="L199" s="92">
        <f t="shared" si="20"/>
        <v>2.331762627214341E-3</v>
      </c>
      <c r="M199" s="92">
        <f t="shared" si="21"/>
        <v>3.5295297302717334E-2</v>
      </c>
    </row>
    <row r="200" spans="2:13">
      <c r="B200" s="109">
        <v>55107008</v>
      </c>
      <c r="C200" s="109">
        <v>1269750</v>
      </c>
      <c r="D200" s="109">
        <v>10176</v>
      </c>
      <c r="E200" s="110">
        <v>1</v>
      </c>
      <c r="F200" s="111">
        <v>56.76</v>
      </c>
      <c r="G200" s="112">
        <v>23979</v>
      </c>
      <c r="H200" s="113">
        <v>1522</v>
      </c>
      <c r="I200" s="115">
        <f t="shared" si="22"/>
        <v>6.3472204845906835E-2</v>
      </c>
      <c r="J200" s="114">
        <v>2.3670711899999999</v>
      </c>
      <c r="K200" s="116">
        <f t="shared" si="19"/>
        <v>2.4924471299093653E-2</v>
      </c>
      <c r="L200" s="117">
        <f t="shared" si="20"/>
        <v>3.7636111304949877E-4</v>
      </c>
      <c r="M200" s="117">
        <f t="shared" si="21"/>
        <v>5.2624845704090702E-3</v>
      </c>
    </row>
    <row r="201" spans="2:13">
      <c r="B201" s="109">
        <v>55107008</v>
      </c>
      <c r="C201" s="109">
        <v>1269750</v>
      </c>
      <c r="D201" s="109">
        <v>10178</v>
      </c>
      <c r="E201" s="110">
        <v>5</v>
      </c>
      <c r="F201" s="111">
        <v>2.02</v>
      </c>
      <c r="G201" s="112">
        <v>133</v>
      </c>
      <c r="H201" s="113">
        <v>14</v>
      </c>
      <c r="I201" s="115">
        <f t="shared" si="22"/>
        <v>0.10526315789473684</v>
      </c>
      <c r="J201" s="114">
        <v>15.18796992</v>
      </c>
      <c r="K201" s="116">
        <f t="shared" si="19"/>
        <v>8.870231152954401E-4</v>
      </c>
      <c r="L201" s="117">
        <f t="shared" si="20"/>
        <v>2.0874943924093303E-6</v>
      </c>
      <c r="M201" s="117">
        <f t="shared" si="21"/>
        <v>4.8406559780372524E-5</v>
      </c>
    </row>
    <row r="202" spans="2:13">
      <c r="B202" s="109">
        <v>55107008</v>
      </c>
      <c r="C202" s="109">
        <v>1269750</v>
      </c>
      <c r="D202" s="109">
        <v>10187</v>
      </c>
      <c r="E202" s="110">
        <v>8</v>
      </c>
      <c r="F202" s="111">
        <v>10.1</v>
      </c>
      <c r="G202" s="112">
        <v>5991</v>
      </c>
      <c r="H202" s="113">
        <v>347</v>
      </c>
      <c r="I202" s="115">
        <f t="shared" si="22"/>
        <v>5.7920213653814057E-2</v>
      </c>
      <c r="J202" s="114">
        <v>1.6858621300000001</v>
      </c>
      <c r="K202" s="116">
        <f t="shared" si="19"/>
        <v>4.4351155764772001E-3</v>
      </c>
      <c r="L202" s="117">
        <f t="shared" si="20"/>
        <v>9.4031420337776679E-5</v>
      </c>
      <c r="M202" s="117">
        <f t="shared" si="21"/>
        <v>1.1997911602706617E-3</v>
      </c>
    </row>
    <row r="203" spans="2:13">
      <c r="B203" s="109">
        <v>55107008</v>
      </c>
      <c r="C203" s="109">
        <v>1269750</v>
      </c>
      <c r="D203" s="109">
        <v>10188</v>
      </c>
      <c r="E203" s="110">
        <v>1</v>
      </c>
      <c r="F203" s="111">
        <v>10.1</v>
      </c>
      <c r="G203" s="112">
        <v>1524</v>
      </c>
      <c r="H203" s="113">
        <v>134</v>
      </c>
      <c r="I203" s="115">
        <f t="shared" si="22"/>
        <v>8.7926509186351712E-2</v>
      </c>
      <c r="J203" s="114">
        <v>6.6272965900000003</v>
      </c>
      <c r="K203" s="116">
        <f t="shared" si="19"/>
        <v>4.4351155764772001E-3</v>
      </c>
      <c r="L203" s="117">
        <f t="shared" si="20"/>
        <v>2.3919860556630224E-5</v>
      </c>
      <c r="M203" s="117">
        <f t="shared" si="21"/>
        <v>4.6331992932642274E-4</v>
      </c>
    </row>
    <row r="204" spans="2:13">
      <c r="B204" s="50">
        <v>55107008</v>
      </c>
      <c r="C204" s="50">
        <v>1269750</v>
      </c>
      <c r="D204" s="50">
        <v>10224</v>
      </c>
      <c r="E204" s="74">
        <v>4</v>
      </c>
      <c r="F204" s="77">
        <v>960.75</v>
      </c>
      <c r="G204" s="82">
        <v>11675738</v>
      </c>
      <c r="H204" s="83">
        <v>5538</v>
      </c>
      <c r="I204" s="89">
        <f t="shared" si="22"/>
        <v>4.7431691255833252E-4</v>
      </c>
      <c r="J204" s="86">
        <v>8.6030330000000002E-2</v>
      </c>
      <c r="K204" s="118">
        <f t="shared" si="19"/>
        <v>0.42188488020796738</v>
      </c>
      <c r="L204" s="92">
        <f t="shared" si="20"/>
        <v>0.18325592182135739</v>
      </c>
      <c r="M204" s="92">
        <f t="shared" si="21"/>
        <v>1.9148252004550215E-2</v>
      </c>
    </row>
    <row r="205" spans="2:13">
      <c r="B205" s="50">
        <v>55107008</v>
      </c>
      <c r="C205" s="50">
        <v>1269750</v>
      </c>
      <c r="D205" s="50">
        <v>10224</v>
      </c>
      <c r="E205" s="74">
        <v>10</v>
      </c>
      <c r="F205" s="77">
        <v>309.27</v>
      </c>
      <c r="G205" s="82">
        <v>35988143</v>
      </c>
      <c r="H205" s="83">
        <v>28177</v>
      </c>
      <c r="I205" s="89">
        <f t="shared" si="22"/>
        <v>7.8295231849000938E-4</v>
      </c>
      <c r="J205" s="86">
        <v>8.5936639999999995E-2</v>
      </c>
      <c r="K205" s="118">
        <f t="shared" si="19"/>
        <v>0.13580675191456473</v>
      </c>
      <c r="L205" s="92">
        <f t="shared" si="20"/>
        <v>0.56484997523101577</v>
      </c>
      <c r="M205" s="92">
        <f t="shared" si="21"/>
        <v>9.7425116780825466E-2</v>
      </c>
    </row>
    <row r="206" spans="2:13">
      <c r="B206" s="132">
        <v>55107008</v>
      </c>
      <c r="C206" s="132">
        <v>1269750</v>
      </c>
      <c r="D206" s="132">
        <v>10227</v>
      </c>
      <c r="E206" s="174">
        <v>1</v>
      </c>
      <c r="F206" s="175">
        <v>51.113999999999997</v>
      </c>
      <c r="G206" s="176">
        <v>1340928</v>
      </c>
      <c r="H206" s="177">
        <v>82199</v>
      </c>
      <c r="I206" s="178" t="s">
        <v>40</v>
      </c>
      <c r="J206" s="182">
        <v>3.811838E-2</v>
      </c>
      <c r="K206" s="180">
        <f t="shared" si="19"/>
        <v>2.2445197779807486E-2</v>
      </c>
      <c r="L206" s="181">
        <f t="shared" si="20"/>
        <v>2.1046463764095177E-2</v>
      </c>
      <c r="M206" s="181">
        <f t="shared" si="21"/>
        <v>0.28421220052763152</v>
      </c>
    </row>
    <row r="207" spans="2:13">
      <c r="B207" s="132">
        <v>55107008</v>
      </c>
      <c r="C207" s="132">
        <v>1269750</v>
      </c>
      <c r="D207" s="132">
        <v>10231</v>
      </c>
      <c r="E207" s="174">
        <v>1</v>
      </c>
      <c r="F207" s="175">
        <v>0.46200000000000002</v>
      </c>
      <c r="G207" s="176">
        <v>0</v>
      </c>
      <c r="H207" s="177">
        <v>0</v>
      </c>
      <c r="I207" s="178" t="s">
        <v>40</v>
      </c>
      <c r="J207" s="179" t="s">
        <v>1</v>
      </c>
      <c r="K207" s="180">
        <f t="shared" si="19"/>
        <v>2.0287360359727392E-4</v>
      </c>
      <c r="L207" s="181">
        <f t="shared" si="20"/>
        <v>0</v>
      </c>
      <c r="M207" s="181">
        <f t="shared" si="21"/>
        <v>0</v>
      </c>
    </row>
    <row r="208" spans="2:13">
      <c r="B208" s="50">
        <v>55107008</v>
      </c>
      <c r="C208" s="50">
        <v>1269750</v>
      </c>
      <c r="D208" s="50">
        <v>10232</v>
      </c>
      <c r="E208" s="74">
        <v>1</v>
      </c>
      <c r="F208" s="77">
        <v>212.57599999999999</v>
      </c>
      <c r="G208" s="82">
        <v>621731</v>
      </c>
      <c r="H208" s="83">
        <v>43136</v>
      </c>
      <c r="I208" s="89">
        <f t="shared" si="22"/>
        <v>6.9380487702881147E-2</v>
      </c>
      <c r="J208" s="86">
        <v>0.34190992999999997</v>
      </c>
      <c r="K208" s="118">
        <f t="shared" si="19"/>
        <v>9.3346448394575968E-2</v>
      </c>
      <c r="L208" s="92">
        <f t="shared" si="20"/>
        <v>9.7583456848650031E-3</v>
      </c>
      <c r="M208" s="92">
        <f t="shared" si="21"/>
        <v>0.14914752590615352</v>
      </c>
    </row>
    <row r="209" spans="2:13">
      <c r="B209" s="109">
        <v>55107008</v>
      </c>
      <c r="C209" s="109">
        <v>1269750</v>
      </c>
      <c r="D209" s="109">
        <v>10234</v>
      </c>
      <c r="E209" s="110">
        <v>1</v>
      </c>
      <c r="F209" s="111">
        <v>47.6</v>
      </c>
      <c r="G209" s="112">
        <v>624208</v>
      </c>
      <c r="H209" s="113">
        <v>58976</v>
      </c>
      <c r="I209" s="115">
        <f t="shared" si="22"/>
        <v>9.4481326737241439E-2</v>
      </c>
      <c r="J209" s="114">
        <v>7.6256630000000006E-2</v>
      </c>
      <c r="K209" s="116">
        <f t="shared" si="19"/>
        <v>2.0902128855476709E-2</v>
      </c>
      <c r="L209" s="117">
        <f t="shared" si="20"/>
        <v>9.7972233059928065E-3</v>
      </c>
      <c r="M209" s="117">
        <f t="shared" si="21"/>
        <v>0.20391609068623215</v>
      </c>
    </row>
    <row r="210" spans="2:13">
      <c r="B210" s="119">
        <v>55107008</v>
      </c>
      <c r="C210" s="119">
        <v>1269750</v>
      </c>
      <c r="D210" s="119">
        <v>10236</v>
      </c>
      <c r="E210" s="120">
        <v>1</v>
      </c>
      <c r="F210" s="121">
        <v>87.84</v>
      </c>
      <c r="G210" s="122">
        <v>12544051</v>
      </c>
      <c r="H210" s="123">
        <v>545</v>
      </c>
      <c r="I210" s="89">
        <f t="shared" si="22"/>
        <v>4.3446889684998887E-5</v>
      </c>
      <c r="J210" s="124">
        <v>7.0025229999999994E-2</v>
      </c>
      <c r="K210" s="118">
        <f t="shared" si="19"/>
        <v>3.8572331904728446E-2</v>
      </c>
      <c r="L210" s="125">
        <f t="shared" si="20"/>
        <v>0.19688448210974929</v>
      </c>
      <c r="M210" s="125">
        <f t="shared" si="21"/>
        <v>1.8843982200216446E-3</v>
      </c>
    </row>
    <row r="211" spans="2:13">
      <c r="B211" s="109">
        <v>55107008</v>
      </c>
      <c r="C211" s="109">
        <v>1269750</v>
      </c>
      <c r="D211" s="109">
        <v>10236</v>
      </c>
      <c r="E211" s="110">
        <v>2</v>
      </c>
      <c r="F211" s="111">
        <v>35.28</v>
      </c>
      <c r="G211" s="112">
        <v>474954</v>
      </c>
      <c r="H211" s="113">
        <v>35051</v>
      </c>
      <c r="I211" s="115">
        <f t="shared" si="22"/>
        <v>7.379872577133785E-2</v>
      </c>
      <c r="J211" s="114">
        <v>7.4280879999999994E-2</v>
      </c>
      <c r="K211" s="116">
        <f t="shared" si="19"/>
        <v>1.5492166092882736E-2</v>
      </c>
      <c r="L211" s="117">
        <f t="shared" si="20"/>
        <v>7.454615125205873E-3</v>
      </c>
      <c r="M211" s="117">
        <f t="shared" si="21"/>
        <v>0.12119273763298838</v>
      </c>
    </row>
    <row r="212" spans="2:13">
      <c r="B212" s="50">
        <v>60663561</v>
      </c>
      <c r="C212" s="50">
        <v>1269750</v>
      </c>
      <c r="D212" s="50">
        <v>10232</v>
      </c>
      <c r="E212" s="74">
        <v>5</v>
      </c>
      <c r="F212" s="77">
        <v>10.766</v>
      </c>
      <c r="G212" s="82">
        <v>374044</v>
      </c>
      <c r="H212" s="83">
        <v>1617</v>
      </c>
      <c r="I212" s="89">
        <f t="shared" si="22"/>
        <v>4.3230208210798728E-3</v>
      </c>
      <c r="J212" s="86">
        <v>2.878271E-2</v>
      </c>
      <c r="K212" s="91">
        <f>10.766/(10.766+0.413)</f>
        <v>0.96305572949279894</v>
      </c>
      <c r="L212" s="92">
        <f>374044/(374044+5617)</f>
        <v>0.9852052225538046</v>
      </c>
      <c r="M212" s="92">
        <f>1617/(1617+63)</f>
        <v>0.96250000000000002</v>
      </c>
    </row>
    <row r="213" spans="2:13">
      <c r="B213" s="50">
        <v>60663561</v>
      </c>
      <c r="C213" s="50">
        <v>1269750</v>
      </c>
      <c r="D213" s="50">
        <v>10232</v>
      </c>
      <c r="E213" s="74">
        <v>1</v>
      </c>
      <c r="F213" s="77">
        <v>0.41299999999999998</v>
      </c>
      <c r="G213" s="82">
        <v>5617</v>
      </c>
      <c r="H213" s="83">
        <v>63</v>
      </c>
      <c r="I213" s="89">
        <f t="shared" si="22"/>
        <v>1.1215951575574149E-2</v>
      </c>
      <c r="J213" s="86">
        <v>7.3526789999999995E-2</v>
      </c>
      <c r="K213" s="91">
        <f>0.04</f>
        <v>0.04</v>
      </c>
      <c r="L213" s="92">
        <v>0.01</v>
      </c>
      <c r="M213" s="92">
        <f>(100-96.25)/100</f>
        <v>3.7499999999999999E-2</v>
      </c>
    </row>
    <row r="214" spans="2:13">
      <c r="B214" s="101">
        <v>62310876</v>
      </c>
      <c r="C214" s="101">
        <v>1643084</v>
      </c>
      <c r="D214" s="101">
        <v>10235</v>
      </c>
      <c r="E214" s="102">
        <v>1</v>
      </c>
      <c r="F214" s="103">
        <v>1.0978000000000001</v>
      </c>
      <c r="G214" s="104">
        <v>10978</v>
      </c>
      <c r="H214" s="105">
        <v>479</v>
      </c>
      <c r="I214" s="165">
        <f t="shared" si="22"/>
        <v>4.3632719985425394E-2</v>
      </c>
      <c r="J214" s="106">
        <v>0.1</v>
      </c>
      <c r="K214" s="107">
        <v>1</v>
      </c>
      <c r="L214" s="108">
        <v>1</v>
      </c>
      <c r="M214" s="108">
        <v>1</v>
      </c>
    </row>
    <row r="215" spans="2:13">
      <c r="B215" s="109">
        <v>80715286</v>
      </c>
      <c r="C215" s="109">
        <v>1269750</v>
      </c>
      <c r="D215" s="109">
        <v>10167</v>
      </c>
      <c r="E215" s="110">
        <v>5</v>
      </c>
      <c r="F215" s="111">
        <v>4.2</v>
      </c>
      <c r="G215" s="112">
        <v>18517</v>
      </c>
      <c r="H215" s="113">
        <v>536</v>
      </c>
      <c r="I215" s="115">
        <f t="shared" si="22"/>
        <v>2.8946373602635415E-2</v>
      </c>
      <c r="J215" s="114">
        <v>0.22681860000000001</v>
      </c>
      <c r="K215" s="116">
        <f>F215/298.23</f>
        <v>1.4083090232370988E-2</v>
      </c>
      <c r="L215" s="117">
        <f>G215/339688</f>
        <v>5.451178728715763E-2</v>
      </c>
      <c r="M215" s="117">
        <f>H215/7058</f>
        <v>7.594219325587985E-2</v>
      </c>
    </row>
    <row r="216" spans="2:13">
      <c r="B216" s="50">
        <v>80715286</v>
      </c>
      <c r="C216" s="50">
        <v>1269750</v>
      </c>
      <c r="D216" s="50">
        <v>10169</v>
      </c>
      <c r="E216" s="74">
        <v>16</v>
      </c>
      <c r="F216" s="77">
        <v>32.46</v>
      </c>
      <c r="G216" s="82">
        <v>704</v>
      </c>
      <c r="H216" s="83">
        <v>18</v>
      </c>
      <c r="I216" s="89">
        <f t="shared" si="22"/>
        <v>2.556818181818182E-2</v>
      </c>
      <c r="J216" s="86">
        <v>46.107954550000002</v>
      </c>
      <c r="K216" s="91">
        <f t="shared" ref="K216:K225" si="23">F216/298.23</f>
        <v>0.10884216879589578</v>
      </c>
      <c r="L216" s="92">
        <f t="shared" ref="L216:L225" si="24">G216/339688</f>
        <v>2.072490049692659E-3</v>
      </c>
      <c r="M216" s="92">
        <f t="shared" ref="M216:M225" si="25">H216/7058</f>
        <v>2.5502975347123833E-3</v>
      </c>
    </row>
    <row r="217" spans="2:13">
      <c r="B217" s="50">
        <v>80715286</v>
      </c>
      <c r="C217" s="50">
        <v>1269750</v>
      </c>
      <c r="D217" s="50">
        <v>10170</v>
      </c>
      <c r="E217" s="74">
        <v>16</v>
      </c>
      <c r="F217" s="77">
        <v>68.680000000000007</v>
      </c>
      <c r="G217" s="82">
        <v>51844</v>
      </c>
      <c r="H217" s="83">
        <v>943</v>
      </c>
      <c r="I217" s="89">
        <f t="shared" si="22"/>
        <v>1.8189182933415631E-2</v>
      </c>
      <c r="J217" s="86">
        <v>1.3247434600000001</v>
      </c>
      <c r="K217" s="91">
        <f t="shared" si="23"/>
        <v>0.2302920564664856</v>
      </c>
      <c r="L217" s="92">
        <f t="shared" si="24"/>
        <v>0.15262240644355998</v>
      </c>
      <c r="M217" s="92">
        <f t="shared" si="25"/>
        <v>0.1336072541796543</v>
      </c>
    </row>
    <row r="218" spans="2:13">
      <c r="B218" s="50">
        <v>80715286</v>
      </c>
      <c r="C218" s="50">
        <v>1269750</v>
      </c>
      <c r="D218" s="50">
        <v>10171</v>
      </c>
      <c r="E218" s="74">
        <v>15</v>
      </c>
      <c r="F218" s="77">
        <v>24.34</v>
      </c>
      <c r="G218" s="82">
        <v>16215</v>
      </c>
      <c r="H218" s="83">
        <v>380</v>
      </c>
      <c r="I218" s="89">
        <f t="shared" si="22"/>
        <v>2.3435090965155721E-2</v>
      </c>
      <c r="J218" s="86">
        <v>1.5010792500000001</v>
      </c>
      <c r="K218" s="91">
        <f t="shared" si="23"/>
        <v>8.1614861013311862E-2</v>
      </c>
      <c r="L218" s="92">
        <f t="shared" si="24"/>
        <v>4.7734980334895552E-2</v>
      </c>
      <c r="M218" s="92">
        <f t="shared" si="25"/>
        <v>5.3839614621705868E-2</v>
      </c>
    </row>
    <row r="219" spans="2:13">
      <c r="B219" s="50">
        <v>80715286</v>
      </c>
      <c r="C219" s="50">
        <v>1269750</v>
      </c>
      <c r="D219" s="50">
        <v>10172</v>
      </c>
      <c r="E219" s="74">
        <v>4</v>
      </c>
      <c r="F219" s="77">
        <v>52.52</v>
      </c>
      <c r="G219" s="82">
        <v>71789</v>
      </c>
      <c r="H219" s="83">
        <v>1279</v>
      </c>
      <c r="I219" s="89">
        <f t="shared" si="22"/>
        <v>1.7816099959603839E-2</v>
      </c>
      <c r="J219" s="86">
        <v>0.73158840000000003</v>
      </c>
      <c r="K219" s="91">
        <f t="shared" si="23"/>
        <v>0.17610569023907721</v>
      </c>
      <c r="L219" s="92">
        <f t="shared" si="24"/>
        <v>0.21133805138833281</v>
      </c>
      <c r="M219" s="92">
        <f t="shared" si="25"/>
        <v>0.18121280816095212</v>
      </c>
    </row>
    <row r="220" spans="2:13">
      <c r="B220" s="50">
        <v>80715286</v>
      </c>
      <c r="C220" s="50">
        <v>1269750</v>
      </c>
      <c r="D220" s="50">
        <v>10173</v>
      </c>
      <c r="E220" s="74">
        <v>14</v>
      </c>
      <c r="F220" s="77">
        <v>44.44</v>
      </c>
      <c r="G220" s="82">
        <v>28786</v>
      </c>
      <c r="H220" s="83">
        <v>597</v>
      </c>
      <c r="I220" s="89">
        <f t="shared" si="22"/>
        <v>2.0739248245674982E-2</v>
      </c>
      <c r="J220" s="86">
        <v>1.5438060199999999</v>
      </c>
      <c r="K220" s="91">
        <f t="shared" si="23"/>
        <v>0.14901250712537301</v>
      </c>
      <c r="L220" s="92">
        <f t="shared" si="24"/>
        <v>8.4742469560302389E-2</v>
      </c>
      <c r="M220" s="92">
        <f t="shared" si="25"/>
        <v>8.4584868234627367E-2</v>
      </c>
    </row>
    <row r="221" spans="2:13">
      <c r="B221" s="109">
        <v>80715286</v>
      </c>
      <c r="C221" s="109">
        <v>1269750</v>
      </c>
      <c r="D221" s="109">
        <v>10174</v>
      </c>
      <c r="E221" s="110">
        <v>15</v>
      </c>
      <c r="F221" s="111">
        <v>4.74</v>
      </c>
      <c r="G221" s="112">
        <v>145</v>
      </c>
      <c r="H221" s="113">
        <v>1</v>
      </c>
      <c r="I221" s="115">
        <f t="shared" si="22"/>
        <v>6.8965517241379309E-3</v>
      </c>
      <c r="J221" s="114">
        <v>32.689655170000002</v>
      </c>
      <c r="K221" s="116">
        <f t="shared" si="23"/>
        <v>1.5893773262247259E-2</v>
      </c>
      <c r="L221" s="117">
        <f t="shared" si="24"/>
        <v>4.268622971668119E-4</v>
      </c>
      <c r="M221" s="117">
        <f t="shared" si="25"/>
        <v>1.4168319637291018E-4</v>
      </c>
    </row>
    <row r="222" spans="2:13">
      <c r="B222" s="50">
        <v>80715286</v>
      </c>
      <c r="C222" s="50">
        <v>1269750</v>
      </c>
      <c r="D222" s="50">
        <v>10176</v>
      </c>
      <c r="E222" s="74">
        <v>4</v>
      </c>
      <c r="F222" s="77">
        <v>37.840000000000003</v>
      </c>
      <c r="G222" s="82">
        <v>7644</v>
      </c>
      <c r="H222" s="83">
        <v>121</v>
      </c>
      <c r="I222" s="89">
        <f t="shared" si="22"/>
        <v>1.5829408686551544E-2</v>
      </c>
      <c r="J222" s="86">
        <v>4.9502878099999998</v>
      </c>
      <c r="K222" s="91">
        <f t="shared" si="23"/>
        <v>0.12688193676021864</v>
      </c>
      <c r="L222" s="92">
        <f t="shared" si="24"/>
        <v>2.2503002755469726E-2</v>
      </c>
      <c r="M222" s="92">
        <f t="shared" si="25"/>
        <v>1.7143666761122132E-2</v>
      </c>
    </row>
    <row r="223" spans="2:13">
      <c r="B223" s="109">
        <v>80715286</v>
      </c>
      <c r="C223" s="109">
        <v>1269750</v>
      </c>
      <c r="D223" s="109">
        <v>10187</v>
      </c>
      <c r="E223" s="110">
        <v>3</v>
      </c>
      <c r="F223" s="111">
        <v>4.04</v>
      </c>
      <c r="G223" s="112">
        <v>947</v>
      </c>
      <c r="H223" s="113">
        <v>12</v>
      </c>
      <c r="I223" s="115">
        <f t="shared" si="22"/>
        <v>1.2671594508975714E-2</v>
      </c>
      <c r="J223" s="114">
        <v>4.2661034799999999</v>
      </c>
      <c r="K223" s="116">
        <f t="shared" si="23"/>
        <v>1.3546591556852094E-2</v>
      </c>
      <c r="L223" s="117">
        <f t="shared" si="24"/>
        <v>2.7878523821860059E-3</v>
      </c>
      <c r="M223" s="117">
        <f t="shared" si="25"/>
        <v>1.7001983564749221E-3</v>
      </c>
    </row>
    <row r="224" spans="2:13">
      <c r="B224" s="109">
        <v>80715286</v>
      </c>
      <c r="C224" s="109">
        <v>1269750</v>
      </c>
      <c r="D224" s="109">
        <v>10188</v>
      </c>
      <c r="E224" s="110">
        <v>3</v>
      </c>
      <c r="F224" s="111">
        <v>6.06</v>
      </c>
      <c r="G224" s="112">
        <v>1532</v>
      </c>
      <c r="H224" s="113">
        <v>38</v>
      </c>
      <c r="I224" s="115">
        <f t="shared" si="22"/>
        <v>2.4804177545691905E-2</v>
      </c>
      <c r="J224" s="114">
        <v>3.9556135800000001</v>
      </c>
      <c r="K224" s="116">
        <f t="shared" si="23"/>
        <v>2.0319887335278137E-2</v>
      </c>
      <c r="L224" s="117">
        <f t="shared" si="24"/>
        <v>4.5100209604107301E-3</v>
      </c>
      <c r="M224" s="117">
        <f t="shared" si="25"/>
        <v>5.383961462170587E-3</v>
      </c>
    </row>
    <row r="225" spans="2:19">
      <c r="B225" s="50">
        <v>80715286</v>
      </c>
      <c r="C225" s="50">
        <v>1269750</v>
      </c>
      <c r="D225" s="50">
        <v>10232</v>
      </c>
      <c r="E225" s="74">
        <v>1</v>
      </c>
      <c r="F225" s="77">
        <v>18.914000000000001</v>
      </c>
      <c r="G225" s="82">
        <v>141434</v>
      </c>
      <c r="H225" s="83">
        <v>3127</v>
      </c>
      <c r="I225" s="89">
        <f t="shared" si="22"/>
        <v>2.2109252372131169E-2</v>
      </c>
      <c r="J225" s="86">
        <v>0.13373022000000001</v>
      </c>
      <c r="K225" s="91">
        <f t="shared" si="23"/>
        <v>6.3420849679777361E-2</v>
      </c>
      <c r="L225" s="92">
        <f t="shared" si="24"/>
        <v>0.41636442853441979</v>
      </c>
      <c r="M225" s="92">
        <f t="shared" si="25"/>
        <v>0.44304335505809012</v>
      </c>
    </row>
    <row r="226" spans="2:19" ht="13.8" thickBot="1">
      <c r="B226" s="129">
        <v>94757439</v>
      </c>
      <c r="C226" s="129">
        <v>1269750</v>
      </c>
      <c r="D226" s="129">
        <v>10176</v>
      </c>
      <c r="E226" s="166">
        <v>8</v>
      </c>
      <c r="F226" s="167">
        <v>4.78</v>
      </c>
      <c r="G226" s="168">
        <v>131</v>
      </c>
      <c r="H226" s="169">
        <v>6</v>
      </c>
      <c r="I226" s="170">
        <f t="shared" si="22"/>
        <v>4.5801526717557252E-2</v>
      </c>
      <c r="J226" s="171">
        <v>36.488549620000001</v>
      </c>
      <c r="K226" s="172">
        <v>1</v>
      </c>
      <c r="L226" s="173">
        <v>1</v>
      </c>
      <c r="M226" s="173">
        <v>1</v>
      </c>
    </row>
    <row r="229" spans="2:19" ht="13.8" thickBot="1"/>
    <row r="230" spans="2:19" ht="13.8" thickBot="1">
      <c r="B230" s="162" t="s">
        <v>38</v>
      </c>
      <c r="C230" s="163"/>
      <c r="D230" s="163"/>
      <c r="E230" s="164"/>
    </row>
    <row r="231" spans="2:19" ht="13.8" thickBot="1">
      <c r="B231" s="126" t="s">
        <v>39</v>
      </c>
      <c r="C231" s="127"/>
      <c r="D231" s="127"/>
      <c r="E231" s="127"/>
      <c r="F231" s="127"/>
      <c r="G231" s="127"/>
      <c r="H231" s="127"/>
      <c r="I231" s="128"/>
    </row>
    <row r="232" spans="2:19">
      <c r="B232" s="21"/>
      <c r="C232" s="21"/>
      <c r="D232" s="21"/>
      <c r="E232" s="21"/>
      <c r="F232" s="21"/>
      <c r="G232" s="21"/>
      <c r="H232" s="21"/>
      <c r="I232" s="21"/>
    </row>
    <row r="233" spans="2:19" ht="13.2" customHeight="1"/>
    <row r="236" spans="2:19" ht="13.2" customHeight="1" thickBot="1"/>
    <row r="237" spans="2:19" ht="13.8" thickBot="1">
      <c r="B237" s="147" t="s">
        <v>28</v>
      </c>
      <c r="C237" s="148"/>
      <c r="D237" s="148"/>
      <c r="E237" s="148"/>
      <c r="F237" s="149"/>
      <c r="L237" s="40" t="s">
        <v>33</v>
      </c>
      <c r="M237" s="58"/>
      <c r="N237" s="58"/>
      <c r="O237" s="58"/>
      <c r="P237" s="59"/>
    </row>
    <row r="238" spans="2:19">
      <c r="B238" s="135" t="s">
        <v>30</v>
      </c>
      <c r="C238" s="136"/>
      <c r="D238" s="136"/>
      <c r="E238" s="136"/>
      <c r="F238" s="136"/>
      <c r="G238" s="136"/>
      <c r="H238" s="136"/>
      <c r="I238" s="137"/>
      <c r="L238" s="135" t="s">
        <v>34</v>
      </c>
      <c r="M238" s="136"/>
      <c r="N238" s="136"/>
      <c r="O238" s="136"/>
      <c r="P238" s="136"/>
      <c r="Q238" s="136"/>
      <c r="R238" s="136"/>
      <c r="S238" s="137"/>
    </row>
    <row r="239" spans="2:19" ht="13.2" customHeight="1">
      <c r="B239" s="138"/>
      <c r="C239" s="139"/>
      <c r="D239" s="139"/>
      <c r="E239" s="139"/>
      <c r="F239" s="139"/>
      <c r="G239" s="139"/>
      <c r="H239" s="139"/>
      <c r="I239" s="140"/>
      <c r="L239" s="138"/>
      <c r="M239" s="139"/>
      <c r="N239" s="139"/>
      <c r="O239" s="139"/>
      <c r="P239" s="139"/>
      <c r="Q239" s="139"/>
      <c r="R239" s="139"/>
      <c r="S239" s="140"/>
    </row>
    <row r="240" spans="2:19">
      <c r="B240" s="141"/>
      <c r="C240" s="142"/>
      <c r="D240" s="142"/>
      <c r="E240" s="142"/>
      <c r="F240" s="142"/>
      <c r="G240" s="142"/>
      <c r="H240" s="142"/>
      <c r="I240" s="143"/>
      <c r="L240" s="141"/>
      <c r="M240" s="142"/>
      <c r="N240" s="142"/>
      <c r="O240" s="142"/>
      <c r="P240" s="142"/>
      <c r="Q240" s="142"/>
      <c r="R240" s="142"/>
      <c r="S240" s="143"/>
    </row>
    <row r="241" spans="2:19">
      <c r="B241" s="138" t="s">
        <v>29</v>
      </c>
      <c r="C241" s="139"/>
      <c r="D241" s="139"/>
      <c r="E241" s="139"/>
      <c r="F241" s="139"/>
      <c r="G241" s="139"/>
      <c r="H241" s="139"/>
      <c r="I241" s="140"/>
      <c r="L241" s="138" t="s">
        <v>35</v>
      </c>
      <c r="M241" s="139"/>
      <c r="N241" s="139"/>
      <c r="O241" s="139"/>
      <c r="P241" s="139"/>
      <c r="Q241" s="139"/>
      <c r="R241" s="139"/>
      <c r="S241" s="140"/>
    </row>
    <row r="242" spans="2:19" ht="13.2" customHeight="1">
      <c r="B242" s="138"/>
      <c r="C242" s="139"/>
      <c r="D242" s="139"/>
      <c r="E242" s="139"/>
      <c r="F242" s="139"/>
      <c r="G242" s="139"/>
      <c r="H242" s="139"/>
      <c r="I242" s="140"/>
      <c r="L242" s="138"/>
      <c r="M242" s="139"/>
      <c r="N242" s="139"/>
      <c r="O242" s="139"/>
      <c r="P242" s="139"/>
      <c r="Q242" s="139"/>
      <c r="R242" s="139"/>
      <c r="S242" s="140"/>
    </row>
    <row r="243" spans="2:19">
      <c r="B243" s="141"/>
      <c r="C243" s="142"/>
      <c r="D243" s="142"/>
      <c r="E243" s="142"/>
      <c r="F243" s="142"/>
      <c r="G243" s="142"/>
      <c r="H243" s="142"/>
      <c r="I243" s="143"/>
      <c r="L243" s="141"/>
      <c r="M243" s="142"/>
      <c r="N243" s="142"/>
      <c r="O243" s="142"/>
      <c r="P243" s="142"/>
      <c r="Q243" s="142"/>
      <c r="R243" s="142"/>
      <c r="S243" s="143"/>
    </row>
    <row r="244" spans="2:19">
      <c r="B244" s="138" t="s">
        <v>31</v>
      </c>
      <c r="C244" s="139"/>
      <c r="D244" s="139"/>
      <c r="E244" s="139"/>
      <c r="F244" s="139"/>
      <c r="G244" s="139"/>
      <c r="H244" s="139"/>
      <c r="I244" s="140"/>
      <c r="L244" s="138" t="s">
        <v>36</v>
      </c>
      <c r="M244" s="139"/>
      <c r="N244" s="139"/>
      <c r="O244" s="139"/>
      <c r="P244" s="139"/>
      <c r="Q244" s="139"/>
      <c r="R244" s="139"/>
      <c r="S244" s="140"/>
    </row>
    <row r="245" spans="2:19">
      <c r="B245" s="138"/>
      <c r="C245" s="139"/>
      <c r="D245" s="139"/>
      <c r="E245" s="139"/>
      <c r="F245" s="139"/>
      <c r="G245" s="139"/>
      <c r="H245" s="139"/>
      <c r="I245" s="140"/>
      <c r="L245" s="138"/>
      <c r="M245" s="139"/>
      <c r="N245" s="139"/>
      <c r="O245" s="139"/>
      <c r="P245" s="139"/>
      <c r="Q245" s="139"/>
      <c r="R245" s="139"/>
      <c r="S245" s="140"/>
    </row>
    <row r="246" spans="2:19">
      <c r="B246" s="141"/>
      <c r="C246" s="142"/>
      <c r="D246" s="142"/>
      <c r="E246" s="142"/>
      <c r="F246" s="142"/>
      <c r="G246" s="142"/>
      <c r="H246" s="142"/>
      <c r="I246" s="143"/>
      <c r="L246" s="141"/>
      <c r="M246" s="142"/>
      <c r="N246" s="142"/>
      <c r="O246" s="142"/>
      <c r="P246" s="142"/>
      <c r="Q246" s="142"/>
      <c r="R246" s="142"/>
      <c r="S246" s="143"/>
    </row>
    <row r="247" spans="2:19">
      <c r="B247" s="138" t="s">
        <v>32</v>
      </c>
      <c r="C247" s="139"/>
      <c r="D247" s="139"/>
      <c r="E247" s="139"/>
      <c r="F247" s="139"/>
      <c r="G247" s="139"/>
      <c r="H247" s="139"/>
      <c r="I247" s="140"/>
      <c r="L247" s="138" t="s">
        <v>37</v>
      </c>
      <c r="M247" s="139"/>
      <c r="N247" s="139"/>
      <c r="O247" s="139"/>
      <c r="P247" s="139"/>
      <c r="Q247" s="139"/>
      <c r="R247" s="139"/>
      <c r="S247" s="140"/>
    </row>
    <row r="248" spans="2:19" ht="13.8" thickBot="1">
      <c r="B248" s="144"/>
      <c r="C248" s="145"/>
      <c r="D248" s="145"/>
      <c r="E248" s="145"/>
      <c r="F248" s="145"/>
      <c r="G248" s="145"/>
      <c r="H248" s="145"/>
      <c r="I248" s="146"/>
      <c r="L248" s="138"/>
      <c r="M248" s="139"/>
      <c r="N248" s="139"/>
      <c r="O248" s="139"/>
      <c r="P248" s="139"/>
      <c r="Q248" s="139"/>
      <c r="R248" s="139"/>
      <c r="S248" s="140"/>
    </row>
    <row r="249" spans="2:19">
      <c r="L249" s="138"/>
      <c r="M249" s="139"/>
      <c r="N249" s="139"/>
      <c r="O249" s="139"/>
      <c r="P249" s="139"/>
      <c r="Q249" s="139"/>
      <c r="R249" s="139"/>
      <c r="S249" s="140"/>
    </row>
    <row r="250" spans="2:19" ht="13.8" thickBot="1">
      <c r="L250" s="144"/>
      <c r="M250" s="145"/>
      <c r="N250" s="145"/>
      <c r="O250" s="145"/>
      <c r="P250" s="145"/>
      <c r="Q250" s="145"/>
      <c r="R250" s="145"/>
      <c r="S250" s="146"/>
    </row>
    <row r="256" spans="2:19" ht="13.2" customHeight="1"/>
  </sheetData>
  <mergeCells count="16">
    <mergeCell ref="L247:S250"/>
    <mergeCell ref="B230:E230"/>
    <mergeCell ref="B231:I231"/>
    <mergeCell ref="L237:P237"/>
    <mergeCell ref="L241:S242"/>
    <mergeCell ref="L238:S239"/>
    <mergeCell ref="L244:S245"/>
    <mergeCell ref="B238:I239"/>
    <mergeCell ref="B241:I242"/>
    <mergeCell ref="B244:I245"/>
    <mergeCell ref="B247:I248"/>
    <mergeCell ref="A121:E121"/>
    <mergeCell ref="B237:F237"/>
    <mergeCell ref="A2:D2"/>
    <mergeCell ref="A20:F20"/>
    <mergeCell ref="A38:F3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Vihaan Akshaay</dc:creator>
  <cp:lastModifiedBy>Vihaan Akshaay</cp:lastModifiedBy>
  <dcterms:created xsi:type="dcterms:W3CDTF">2019-04-12T21:57:33Z</dcterms:created>
  <dcterms:modified xsi:type="dcterms:W3CDTF">2019-04-13T09:13:03Z</dcterms:modified>
</cp:coreProperties>
</file>