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ash Nithish\SkilloVilla\BA - Capstone Project\"/>
    </mc:Choice>
  </mc:AlternateContent>
  <xr:revisionPtr revIDLastSave="0" documentId="13_ncr:1_{FB90F223-75C3-437D-8E1D-1CEAC6AE699E}" xr6:coauthVersionLast="47" xr6:coauthVersionMax="47" xr10:uidLastSave="{00000000-0000-0000-0000-000000000000}"/>
  <bookViews>
    <workbookView xWindow="-108" yWindow="-108" windowWidth="23256" windowHeight="12456" activeTab="1" xr2:uid="{380684A4-C9E8-43A4-B4D8-8C00D8ED9418}"/>
  </bookViews>
  <sheets>
    <sheet name="Assumptions and Data" sheetId="1" r:id="rId1"/>
    <sheet name="Monthly P&amp;L Calculation" sheetId="2" r:id="rId2"/>
    <sheet name="Pivot chart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D15" i="2"/>
  <c r="E15" i="2"/>
  <c r="F15" i="2"/>
  <c r="G15" i="2"/>
  <c r="H15" i="2" s="1"/>
  <c r="I15" i="2" s="1"/>
  <c r="J15" i="2" s="1"/>
  <c r="K15" i="2" s="1"/>
  <c r="L15" i="2" s="1"/>
  <c r="M15" i="2" s="1"/>
  <c r="C15" i="2"/>
  <c r="C22" i="2"/>
  <c r="D22" i="2"/>
  <c r="E22" i="2"/>
  <c r="F22" i="2"/>
  <c r="G22" i="2"/>
  <c r="H22" i="2"/>
  <c r="I22" i="2"/>
  <c r="J22" i="2"/>
  <c r="K22" i="2"/>
  <c r="L22" i="2"/>
  <c r="M22" i="2"/>
  <c r="B22" i="2"/>
  <c r="B20" i="2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B19" i="2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B16" i="2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B15" i="2"/>
  <c r="B17" i="2" s="1"/>
  <c r="C13" i="2"/>
  <c r="D13" i="2"/>
  <c r="E13" i="2"/>
  <c r="F13" i="2"/>
  <c r="G13" i="2"/>
  <c r="H13" i="2"/>
  <c r="I13" i="2"/>
  <c r="J13" i="2"/>
  <c r="K13" i="2"/>
  <c r="L13" i="2"/>
  <c r="M13" i="2"/>
  <c r="C14" i="2"/>
  <c r="D14" i="2"/>
  <c r="E14" i="2"/>
  <c r="F14" i="2"/>
  <c r="G14" i="2"/>
  <c r="H14" i="2"/>
  <c r="I14" i="2"/>
  <c r="J14" i="2"/>
  <c r="K14" i="2"/>
  <c r="L14" i="2"/>
  <c r="M14" i="2"/>
  <c r="B14" i="2"/>
  <c r="B13" i="2"/>
  <c r="B12" i="2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B11" i="2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B2" i="2"/>
  <c r="C2" i="2" s="1"/>
  <c r="B5" i="2"/>
  <c r="C5" i="2"/>
  <c r="B6" i="2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B3" i="2" l="1"/>
  <c r="C17" i="2"/>
  <c r="C10" i="2" s="1"/>
  <c r="C3" i="2"/>
  <c r="D2" i="2"/>
  <c r="C4" i="2"/>
  <c r="C8" i="2" s="1"/>
  <c r="C9" i="2" s="1"/>
  <c r="B4" i="2"/>
  <c r="B8" i="2" s="1"/>
  <c r="B9" i="2" s="1"/>
  <c r="D5" i="2"/>
  <c r="E5" i="2" s="1"/>
  <c r="F5" i="2" s="1"/>
  <c r="G5" i="2" s="1"/>
  <c r="H5" i="2" s="1"/>
  <c r="I5" i="2" s="1"/>
  <c r="J5" i="2" s="1"/>
  <c r="K5" i="2" s="1"/>
  <c r="L5" i="2" s="1"/>
  <c r="M5" i="2" s="1"/>
  <c r="D4" i="2"/>
  <c r="B18" i="2" l="1"/>
  <c r="B21" i="2" s="1"/>
  <c r="B24" i="2" s="1"/>
  <c r="C18" i="2"/>
  <c r="C21" i="2" s="1"/>
  <c r="D17" i="2"/>
  <c r="D10" i="2" s="1"/>
  <c r="D3" i="2"/>
  <c r="D8" i="2" s="1"/>
  <c r="D9" i="2" s="1"/>
  <c r="E2" i="2"/>
  <c r="C24" i="2" l="1"/>
  <c r="C23" i="2"/>
  <c r="D18" i="2"/>
  <c r="D21" i="2" s="1"/>
  <c r="B23" i="2"/>
  <c r="B25" i="2" s="1"/>
  <c r="E17" i="2"/>
  <c r="E10" i="2" s="1"/>
  <c r="E3" i="2"/>
  <c r="F2" i="2"/>
  <c r="E4" i="2"/>
  <c r="E8" i="2" s="1"/>
  <c r="E9" i="2" s="1"/>
  <c r="C25" i="2" l="1"/>
  <c r="D24" i="2"/>
  <c r="D23" i="2"/>
  <c r="E18" i="2"/>
  <c r="E21" i="2" s="1"/>
  <c r="F17" i="2"/>
  <c r="F10" i="2" s="1"/>
  <c r="F3" i="2"/>
  <c r="G2" i="2"/>
  <c r="F4" i="2"/>
  <c r="F8" i="2" s="1"/>
  <c r="D25" i="2" l="1"/>
  <c r="F18" i="2"/>
  <c r="F9" i="2"/>
  <c r="E24" i="2"/>
  <c r="E23" i="2"/>
  <c r="F21" i="2"/>
  <c r="G17" i="2"/>
  <c r="G10" i="2" s="1"/>
  <c r="G3" i="2"/>
  <c r="H2" i="2"/>
  <c r="G4" i="2"/>
  <c r="G8" i="2" s="1"/>
  <c r="E25" i="2"/>
  <c r="G18" i="2" l="1"/>
  <c r="G9" i="2"/>
  <c r="F23" i="2"/>
  <c r="F24" i="2"/>
  <c r="G21" i="2"/>
  <c r="F25" i="2"/>
  <c r="H17" i="2"/>
  <c r="H10" i="2" s="1"/>
  <c r="H3" i="2"/>
  <c r="I2" i="2"/>
  <c r="H4" i="2"/>
  <c r="H8" i="2" s="1"/>
  <c r="H9" i="2" s="1"/>
  <c r="H18" i="2" l="1"/>
  <c r="H21" i="2" s="1"/>
  <c r="G23" i="2"/>
  <c r="G24" i="2"/>
  <c r="I17" i="2"/>
  <c r="I10" i="2" s="1"/>
  <c r="I3" i="2"/>
  <c r="J2" i="2"/>
  <c r="I4" i="2"/>
  <c r="I8" i="2" s="1"/>
  <c r="I9" i="2" s="1"/>
  <c r="G25" i="2"/>
  <c r="H24" i="2" l="1"/>
  <c r="H23" i="2"/>
  <c r="H25" i="2" s="1"/>
  <c r="I18" i="2"/>
  <c r="I21" i="2" s="1"/>
  <c r="J17" i="2"/>
  <c r="J10" i="2" s="1"/>
  <c r="J3" i="2"/>
  <c r="K2" i="2"/>
  <c r="J4" i="2"/>
  <c r="I24" i="2" l="1"/>
  <c r="I23" i="2"/>
  <c r="I25" i="2" s="1"/>
  <c r="K17" i="2"/>
  <c r="K10" i="2" s="1"/>
  <c r="K3" i="2"/>
  <c r="L2" i="2"/>
  <c r="K4" i="2"/>
  <c r="J8" i="2"/>
  <c r="J9" i="2" s="1"/>
  <c r="J18" i="2" l="1"/>
  <c r="J21" i="2" s="1"/>
  <c r="M17" i="2"/>
  <c r="M10" i="2" s="1"/>
  <c r="L17" i="2"/>
  <c r="L10" i="2" s="1"/>
  <c r="M2" i="2"/>
  <c r="L3" i="2"/>
  <c r="L4" i="2"/>
  <c r="L8" i="2" s="1"/>
  <c r="K8" i="2"/>
  <c r="K9" i="2" s="1"/>
  <c r="L18" i="2" l="1"/>
  <c r="L21" i="2" s="1"/>
  <c r="L9" i="2"/>
  <c r="J24" i="2"/>
  <c r="J23" i="2"/>
  <c r="K18" i="2"/>
  <c r="K21" i="2" s="1"/>
  <c r="M3" i="2"/>
  <c r="M4" i="2"/>
  <c r="J25" i="2"/>
  <c r="K24" i="2" l="1"/>
  <c r="K23" i="2"/>
  <c r="K25" i="2" s="1"/>
  <c r="L23" i="2"/>
  <c r="L24" i="2"/>
  <c r="L25" i="2" s="1"/>
  <c r="M8" i="2"/>
  <c r="M9" i="2" s="1"/>
  <c r="M18" i="2" l="1"/>
  <c r="M21" i="2" s="1"/>
  <c r="M24" i="2" l="1"/>
  <c r="M23" i="2"/>
  <c r="M25" i="2" s="1"/>
</calcChain>
</file>

<file path=xl/sharedStrings.xml><?xml version="1.0" encoding="utf-8"?>
<sst xmlns="http://schemas.openxmlformats.org/spreadsheetml/2006/main" count="85" uniqueCount="76">
  <si>
    <t>Description</t>
  </si>
  <si>
    <t>Values</t>
  </si>
  <si>
    <t>Initial Units Sold</t>
  </si>
  <si>
    <t>Average Selling Price per Unit</t>
  </si>
  <si>
    <t>Initial Labor Cost per Unit</t>
  </si>
  <si>
    <t>Monthly Increase in Labor Cost per Unit</t>
  </si>
  <si>
    <t>Initial Marketing Expense</t>
  </si>
  <si>
    <t>Monthly Increase in Marketing Expense</t>
  </si>
  <si>
    <t>Rent</t>
  </si>
  <si>
    <t>Utilities</t>
  </si>
  <si>
    <t>Initial Number of Employees</t>
  </si>
  <si>
    <t>Salary Increase Interval</t>
  </si>
  <si>
    <t>Salary Increase Rate</t>
  </si>
  <si>
    <t>Initial Depreciation</t>
  </si>
  <si>
    <t>Monthly Depreciation Increase Rate</t>
  </si>
  <si>
    <t>Initial Amortization</t>
  </si>
  <si>
    <t>Monthly Amortization Increase Rate</t>
  </si>
  <si>
    <t>Interest Expense</t>
  </si>
  <si>
    <t>Tax Rate</t>
  </si>
  <si>
    <t>COGS</t>
  </si>
  <si>
    <t>Gross Profit</t>
  </si>
  <si>
    <t>EBITDA</t>
  </si>
  <si>
    <t>Net Profit</t>
  </si>
  <si>
    <t>Revenue</t>
  </si>
  <si>
    <t>EBIT</t>
  </si>
  <si>
    <t>EBT</t>
  </si>
  <si>
    <t>Tax</t>
  </si>
  <si>
    <t>Interest</t>
  </si>
  <si>
    <t>Depreciation</t>
  </si>
  <si>
    <t>Amortization</t>
  </si>
  <si>
    <t>Salaries</t>
  </si>
  <si>
    <t>Units sold</t>
  </si>
  <si>
    <t>Average Salary</t>
  </si>
  <si>
    <t>Fixed Cost</t>
  </si>
  <si>
    <t>Monthly Growth Rate in Sales</t>
  </si>
  <si>
    <t>Initial Ingredient Cost per Unit</t>
  </si>
  <si>
    <t>Monthly Decrease in Ingredient Cost per Unit</t>
  </si>
  <si>
    <t>Initial Packaging Cost per Unit</t>
  </si>
  <si>
    <t>Monthly Decrease in Packaging Cost per Unit</t>
  </si>
  <si>
    <t>R&amp;D Expense</t>
  </si>
  <si>
    <t>Monthly Increase in R&amp;D Expense</t>
  </si>
  <si>
    <t>Average Salary per Employee</t>
  </si>
  <si>
    <t>Ingredient Cost</t>
  </si>
  <si>
    <t>Packaging Cost</t>
  </si>
  <si>
    <t>Labour Cost</t>
  </si>
  <si>
    <t>Utilities &amp; Misc</t>
  </si>
  <si>
    <t>Staffing</t>
  </si>
  <si>
    <t>R &amp; D</t>
  </si>
  <si>
    <t>Marketing</t>
  </si>
  <si>
    <t>Gross Margin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</si>
  <si>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</si>
  <si>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</si>
  <si>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</si>
  <si>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</si>
  <si>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</si>
  <si>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</si>
  <si>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</si>
  <si>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</si>
  <si>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</si>
  <si>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</si>
  <si>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</si>
  <si>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</si>
  <si>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Row Labels</t>
  </si>
  <si>
    <t>Grand Total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</si>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</sst>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2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2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[GreenEats.xlsx]Pivot 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chart'!$B$3</c:f>
              <c:strCache>
                <c:ptCount val="1"/>
                <c:pt idx="0">
                  <c:v>Month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chart'!$A$4:$A$11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chart'!$B$4:$B$11</c:f>
              <c:numCache>
                <c:formatCode>General</c:formatCode>
                <c:ptCount val="7"/>
                <c:pt idx="0">
                  <c:v>5250</c:v>
                </c:pt>
                <c:pt idx="1">
                  <c:v>-37750</c:v>
                </c:pt>
                <c:pt idx="2">
                  <c:v>40000</c:v>
                </c:pt>
                <c:pt idx="3">
                  <c:v>0.3</c:v>
                </c:pt>
                <c:pt idx="4">
                  <c:v>2250</c:v>
                </c:pt>
                <c:pt idx="5">
                  <c:v>-38040</c:v>
                </c:pt>
                <c:pt idx="6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C-4B65-ACAC-F2BBF93F2F25}"/>
            </c:ext>
          </c:extLst>
        </c:ser>
        <c:ser>
          <c:idx val="1"/>
          <c:order val="1"/>
          <c:tx>
            <c:strRef>
              <c:f>'Pivot chart'!$C$3</c:f>
              <c:strCache>
                <c:ptCount val="1"/>
                <c:pt idx="0">
                  <c:v>Month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chart'!$A$4:$A$11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chart'!$C$4:$C$11</c:f>
              <c:numCache>
                <c:formatCode>General</c:formatCode>
                <c:ptCount val="7"/>
                <c:pt idx="0">
                  <c:v>5361.1500000000005</c:v>
                </c:pt>
                <c:pt idx="1">
                  <c:v>-37843.65</c:v>
                </c:pt>
                <c:pt idx="2">
                  <c:v>40207.5</c:v>
                </c:pt>
                <c:pt idx="3">
                  <c:v>0.30599999999999994</c:v>
                </c:pt>
                <c:pt idx="4">
                  <c:v>2363.8499999999995</c:v>
                </c:pt>
                <c:pt idx="5">
                  <c:v>-38138.850000000006</c:v>
                </c:pt>
                <c:pt idx="6">
                  <c:v>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C-4B65-ACAC-F2BBF93F2F25}"/>
            </c:ext>
          </c:extLst>
        </c:ser>
        <c:ser>
          <c:idx val="2"/>
          <c:order val="2"/>
          <c:tx>
            <c:strRef>
              <c:f>'Pivot chart'!$D$3</c:f>
              <c:strCache>
                <c:ptCount val="1"/>
                <c:pt idx="0">
                  <c:v>Month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chart'!$A$4:$A$11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chart'!$D$4:$D$11</c:f>
              <c:numCache>
                <c:formatCode>General</c:formatCode>
                <c:ptCount val="7"/>
                <c:pt idx="0">
                  <c:v>5475.9547012499997</c:v>
                </c:pt>
                <c:pt idx="1">
                  <c:v>-39222.06720125</c:v>
                </c:pt>
                <c:pt idx="2">
                  <c:v>41702.862500000003</c:v>
                </c:pt>
                <c:pt idx="3">
                  <c:v>0.31178500000000003</c:v>
                </c:pt>
                <c:pt idx="4">
                  <c:v>2480.7952987500003</c:v>
                </c:pt>
                <c:pt idx="5">
                  <c:v>-39522.627201249998</c:v>
                </c:pt>
                <c:pt idx="6">
                  <c:v>7956.75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C-4B65-ACAC-F2BBF93F2F25}"/>
            </c:ext>
          </c:extLst>
        </c:ser>
        <c:ser>
          <c:idx val="3"/>
          <c:order val="3"/>
          <c:tx>
            <c:strRef>
              <c:f>'Pivot chart'!$E$3</c:f>
              <c:strCache>
                <c:ptCount val="1"/>
                <c:pt idx="0">
                  <c:v>Month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chart'!$A$4:$A$11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chart'!$E$4:$E$11</c:f>
              <c:numCache>
                <c:formatCode>General</c:formatCode>
                <c:ptCount val="7"/>
                <c:pt idx="0">
                  <c:v>5594.5631587996868</c:v>
                </c:pt>
                <c:pt idx="1">
                  <c:v>-39325.497346299686</c:v>
                </c:pt>
                <c:pt idx="2">
                  <c:v>41926.386687500002</c:v>
                </c:pt>
                <c:pt idx="3">
                  <c:v>0.3173576250000002</c:v>
                </c:pt>
                <c:pt idx="4">
                  <c:v>2600.8893412003144</c:v>
                </c:pt>
                <c:pt idx="5">
                  <c:v>-39631.582786299688</c:v>
                </c:pt>
                <c:pt idx="6">
                  <c:v>8195.4525000000012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C-4B65-ACAC-F2BBF93F2F25}"/>
            </c:ext>
          </c:extLst>
        </c:ser>
        <c:ser>
          <c:idx val="4"/>
          <c:order val="4"/>
          <c:tx>
            <c:strRef>
              <c:f>'Pivot chart'!$F$3</c:f>
              <c:strCache>
                <c:ptCount val="1"/>
                <c:pt idx="0">
                  <c:v>Month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chart'!$A$4:$A$11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chart'!$F$4:$F$11</c:f>
              <c:numCache>
                <c:formatCode>General</c:formatCode>
                <c:ptCount val="7"/>
                <c:pt idx="0">
                  <c:v>5717.1309647718317</c:v>
                </c:pt>
                <c:pt idx="1">
                  <c:v>-39434.198071334336</c:v>
                </c:pt>
                <c:pt idx="2">
                  <c:v>42158.383181562502</c:v>
                </c:pt>
                <c:pt idx="3">
                  <c:v>0.32272042487500013</c:v>
                </c:pt>
                <c:pt idx="4">
                  <c:v>2724.1851102281689</c:v>
                </c:pt>
                <c:pt idx="5">
                  <c:v>-39745.980029734332</c:v>
                </c:pt>
                <c:pt idx="6">
                  <c:v>8441.3160750000006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3C-4B65-ACAC-F2BBF93F2F25}"/>
            </c:ext>
          </c:extLst>
        </c:ser>
        <c:ser>
          <c:idx val="5"/>
          <c:order val="5"/>
          <c:tx>
            <c:strRef>
              <c:f>'Pivot chart'!$G$3</c:f>
              <c:strCache>
                <c:ptCount val="1"/>
                <c:pt idx="0">
                  <c:v>Month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chart'!$A$4:$A$11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chart'!$G$4:$G$11</c:f>
              <c:numCache>
                <c:formatCode>General</c:formatCode>
                <c:ptCount val="7"/>
                <c:pt idx="0">
                  <c:v>5843.8205417191484</c:v>
                </c:pt>
                <c:pt idx="1">
                  <c:v>-40879.639455786339</c:v>
                </c:pt>
                <c:pt idx="2">
                  <c:v>43730.374471317191</c:v>
                </c:pt>
                <c:pt idx="3">
                  <c:v>0.32787587551312514</c:v>
                </c:pt>
                <c:pt idx="4">
                  <c:v>2850.7350155308513</c:v>
                </c:pt>
                <c:pt idx="5">
                  <c:v>-41197.294855338339</c:v>
                </c:pt>
                <c:pt idx="6">
                  <c:v>8694.5555572499998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3C-4B65-ACAC-F2BBF93F2F25}"/>
            </c:ext>
          </c:extLst>
        </c:ser>
        <c:ser>
          <c:idx val="6"/>
          <c:order val="6"/>
          <c:tx>
            <c:strRef>
              <c:f>'Pivot chart'!$H$3</c:f>
              <c:strCache>
                <c:ptCount val="1"/>
                <c:pt idx="0">
                  <c:v>Month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chart'!$A$4:$A$11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chart'!$H$4:$H$11</c:f>
              <c:numCache>
                <c:formatCode>General</c:formatCode>
                <c:ptCount val="7"/>
                <c:pt idx="0">
                  <c:v>5974.8014492489892</c:v>
                </c:pt>
                <c:pt idx="1">
                  <c:v>-40999.704596630778</c:v>
                </c:pt>
                <c:pt idx="2">
                  <c:v>43980.29537134929</c:v>
                </c:pt>
                <c:pt idx="3">
                  <c:v>0.33282637992577202</c:v>
                </c:pt>
                <c:pt idx="4">
                  <c:v>2980.590774718512</c:v>
                </c:pt>
                <c:pt idx="5">
                  <c:v>-41323.416418237182</c:v>
                </c:pt>
                <c:pt idx="6">
                  <c:v>8955.3922239675012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3C-4B65-ACAC-F2BBF93F2F25}"/>
            </c:ext>
          </c:extLst>
        </c:ser>
        <c:ser>
          <c:idx val="7"/>
          <c:order val="7"/>
          <c:tx>
            <c:strRef>
              <c:f>'Pivot chart'!$I$3</c:f>
              <c:strCache>
                <c:ptCount val="1"/>
                <c:pt idx="0">
                  <c:v>Month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chart'!$A$4:$A$11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chart'!$I$4:$I$11</c:f>
              <c:numCache>
                <c:formatCode>General</c:formatCode>
                <c:ptCount val="7"/>
                <c:pt idx="0">
                  <c:v>6110.250704517679</c:v>
                </c:pt>
                <c:pt idx="1">
                  <c:v>-41125.890208455108</c:v>
                </c:pt>
                <c:pt idx="2">
                  <c:v>44239.693494623956</c:v>
                </c:pt>
                <c:pt idx="3">
                  <c:v>0.33757426933025714</c:v>
                </c:pt>
                <c:pt idx="4">
                  <c:v>3113.8032861688462</c:v>
                </c:pt>
                <c:pt idx="5">
                  <c:v>-41455.847713119525</c:v>
                </c:pt>
                <c:pt idx="6">
                  <c:v>9224.0539906865251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3C-4B65-ACAC-F2BBF93F2F25}"/>
            </c:ext>
          </c:extLst>
        </c:ser>
        <c:ser>
          <c:idx val="8"/>
          <c:order val="8"/>
          <c:tx>
            <c:strRef>
              <c:f>'Pivot chart'!$J$3</c:f>
              <c:strCache>
                <c:ptCount val="1"/>
                <c:pt idx="0">
                  <c:v>Month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chart'!$A$4:$A$11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chart'!$J$4:$J$11</c:f>
              <c:numCache>
                <c:formatCode>General</c:formatCode>
                <c:ptCount val="7"/>
                <c:pt idx="0">
                  <c:v>6250.3531172236662</c:v>
                </c:pt>
                <c:pt idx="1">
                  <c:v>-42642.955250440886</c:v>
                </c:pt>
                <c:pt idx="2">
                  <c:v>45893.37774362434</c:v>
                </c:pt>
                <c:pt idx="3">
                  <c:v>0.34212180420543264</c:v>
                </c:pt>
                <c:pt idx="4">
                  <c:v>3250.4224931834551</c:v>
                </c:pt>
                <c:pt idx="5">
                  <c:v>-42979.354209689525</c:v>
                </c:pt>
                <c:pt idx="6">
                  <c:v>9500.7756104071213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3C-4B65-ACAC-F2BBF93F2F25}"/>
            </c:ext>
          </c:extLst>
        </c:ser>
        <c:ser>
          <c:idx val="9"/>
          <c:order val="9"/>
          <c:tx>
            <c:strRef>
              <c:f>'Pivot chart'!$K$3</c:f>
              <c:strCache>
                <c:ptCount val="1"/>
                <c:pt idx="0">
                  <c:v>Month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chart'!$A$4:$A$11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chart'!$K$4:$K$11</c:f>
              <c:numCache>
                <c:formatCode>General</c:formatCode>
                <c:ptCount val="7"/>
                <c:pt idx="0">
                  <c:v>6395.3016397571764</c:v>
                </c:pt>
                <c:pt idx="1">
                  <c:v>-42782.329581445105</c:v>
                </c:pt>
                <c:pt idx="2">
                  <c:v>46172.826820407266</c:v>
                </c:pt>
                <c:pt idx="3">
                  <c:v>0.34647117532072885</c:v>
                </c:pt>
                <c:pt idx="4">
                  <c:v>3390.4972389621589</c:v>
                </c:pt>
                <c:pt idx="5">
                  <c:v>-43125.372516549287</c:v>
                </c:pt>
                <c:pt idx="6">
                  <c:v>9785.7988787193353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3C-4B65-ACAC-F2BBF93F2F25}"/>
            </c:ext>
          </c:extLst>
        </c:ser>
        <c:ser>
          <c:idx val="10"/>
          <c:order val="10"/>
          <c:tx>
            <c:strRef>
              <c:f>'Pivot chart'!$L$3</c:f>
              <c:strCache>
                <c:ptCount val="1"/>
                <c:pt idx="0">
                  <c:v>Month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chart'!$A$4:$A$11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chart'!$L$4:$L$11</c:f>
              <c:numCache>
                <c:formatCode>General</c:formatCode>
                <c:ptCount val="7"/>
                <c:pt idx="0">
                  <c:v>6545.2977331939792</c:v>
                </c:pt>
                <c:pt idx="1">
                  <c:v>-42928.80264442091</c:v>
                </c:pt>
                <c:pt idx="2">
                  <c:v>46462.877756307847</c:v>
                </c:pt>
                <c:pt idx="3">
                  <c:v>0.35062450473907097</c:v>
                </c:pt>
                <c:pt idx="4">
                  <c:v>3534.0751118869366</c:v>
                </c:pt>
                <c:pt idx="5">
                  <c:v>-43278.699074764561</c:v>
                </c:pt>
                <c:pt idx="6">
                  <c:v>10079.372845080916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3C-4B65-ACAC-F2BBF93F2F25}"/>
            </c:ext>
          </c:extLst>
        </c:ser>
        <c:ser>
          <c:idx val="11"/>
          <c:order val="11"/>
          <c:tx>
            <c:strRef>
              <c:f>'Pivot chart'!$M$3</c:f>
              <c:strCache>
                <c:ptCount val="1"/>
                <c:pt idx="0">
                  <c:v>Month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chart'!$A$4:$A$11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chart'!$M$4:$M$11</c:f>
              <c:numCache>
                <c:formatCode>General</c:formatCode>
                <c:ptCount val="7"/>
                <c:pt idx="0">
                  <c:v>6700.5517498520876</c:v>
                </c:pt>
                <c:pt idx="1">
                  <c:v>-44522.558101471135</c:v>
                </c:pt>
                <c:pt idx="2">
                  <c:v>48203.760382052395</c:v>
                </c:pt>
                <c:pt idx="3">
                  <c:v>0.35458384679410471</c:v>
                </c:pt>
                <c:pt idx="4">
                  <c:v>3681.2022805812558</c:v>
                </c:pt>
                <c:pt idx="5">
                  <c:v>-44879.52480242055</c:v>
                </c:pt>
                <c:pt idx="6">
                  <c:v>10381.754030433343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3C-4B65-ACAC-F2BBF93F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998896"/>
        <c:axId val="1709987376"/>
      </c:barChart>
      <c:catAx>
        <c:axId val="170999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87376"/>
        <c:crosses val="autoZero"/>
        <c:auto val="1"/>
        <c:lblAlgn val="ctr"/>
        <c:lblOffset val="100"/>
        <c:noMultiLvlLbl val="0"/>
      </c:catAx>
      <c:valAx>
        <c:axId val="17099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14</xdr:row>
      <xdr:rowOff>76200</xdr:rowOff>
    </xdr:from>
    <xdr:to>
      <xdr:col>10</xdr:col>
      <xdr:colOff>38100</xdr:colOff>
      <xdr:row>34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C3A6C-42B2-D0AF-CAE9-819A49142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Nithish" refreshedDate="45469.401983449075" createdVersion="8" refreshedVersion="8" minRefreshableVersion="3" recordCount="24" xr:uid="{D66B578B-589C-479A-B9E3-C4C4DAB70784}">
  <cacheSource type="worksheet">
    <worksheetSource name="Table2"/>
  </cacheSource>
  <cacheFields count="13">
    <cacheField name="Description" numFmtId="0">
      <sharedItems count="24">
        <s v="Units sold"/>
        <s v="Revenue"/>
        <s v="COGS"/>
        <s v="Ingredient Cost"/>
        <s v="Packaging Cost"/>
        <s v="Labour Cost"/>
        <s v="Gross Profit"/>
        <s v="Gross Margin"/>
        <s v="Fixed Cost"/>
        <s v="Marketing"/>
        <s v="R &amp; D"/>
        <s v="Rent"/>
        <s v="Utilities &amp; Misc"/>
        <s v="Staffing"/>
        <s v="Average Salary"/>
        <s v="Salaries"/>
        <s v="EBITDA"/>
        <s v="Depreciation"/>
        <s v="Amortization"/>
        <s v="EBIT"/>
        <s v="Interest"/>
        <s v="EBT"/>
        <s v="Tax"/>
        <s v="Net Profit"/>
      </sharedItems>
    </cacheField>
    <cacheField name="1" numFmtId="0">
      <sharedItems containsSemiMixedTypes="0" containsString="0" containsNumber="1" minValue="-38040" maxValue="40000"/>
    </cacheField>
    <cacheField name="2" numFmtId="0">
      <sharedItems containsSemiMixedTypes="0" containsString="0" containsNumber="1" minValue="-38138.850000000006" maxValue="40207.5"/>
    </cacheField>
    <cacheField name="3" numFmtId="0">
      <sharedItems containsSemiMixedTypes="0" containsString="0" containsNumber="1" minValue="-39522.627201249998" maxValue="41702.862500000003"/>
    </cacheField>
    <cacheField name="4" numFmtId="0">
      <sharedItems containsSemiMixedTypes="0" containsString="0" containsNumber="1" minValue="-39631.582786299688" maxValue="41926.386687500002"/>
    </cacheField>
    <cacheField name="5" numFmtId="0">
      <sharedItems containsSemiMixedTypes="0" containsString="0" containsNumber="1" minValue="-39745.980029734332" maxValue="42158.383181562502"/>
    </cacheField>
    <cacheField name="6" numFmtId="0">
      <sharedItems containsSemiMixedTypes="0" containsString="0" containsNumber="1" minValue="-41197.294855338339" maxValue="43730.374471317191"/>
    </cacheField>
    <cacheField name="7" numFmtId="0">
      <sharedItems containsSemiMixedTypes="0" containsString="0" containsNumber="1" minValue="-41323.416418237182" maxValue="43980.29537134929"/>
    </cacheField>
    <cacheField name="8" numFmtId="0">
      <sharedItems containsSemiMixedTypes="0" containsString="0" containsNumber="1" minValue="-41455.847713119525" maxValue="44239.693494623956"/>
    </cacheField>
    <cacheField name="9" numFmtId="0">
      <sharedItems containsSemiMixedTypes="0" containsString="0" containsNumber="1" minValue="-42979.354209689525" maxValue="45893.37774362434"/>
    </cacheField>
    <cacheField name="10" numFmtId="0">
      <sharedItems containsSemiMixedTypes="0" containsString="0" containsNumber="1" minValue="-43125.372516549287" maxValue="46172.826820407266"/>
    </cacheField>
    <cacheField name="11" numFmtId="0">
      <sharedItems containsSemiMixedTypes="0" containsString="0" containsNumber="1" minValue="-43278.699074764561" maxValue="46462.877756307847"/>
    </cacheField>
    <cacheField name="12" numFmtId="0">
      <sharedItems containsSemiMixedTypes="0" containsString="0" containsNumber="1" minValue="-44879.52480242055" maxValue="48203.7603820523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50"/>
    <n v="154.5"/>
    <n v="159.13499999999999"/>
    <n v="163.90905000000001"/>
    <n v="168.82632150000001"/>
    <n v="173.891111145"/>
    <n v="179.10784447935001"/>
    <n v="184.4810798137305"/>
    <n v="190.01551220814241"/>
    <n v="195.7159775743867"/>
    <n v="201.58745690161831"/>
    <n v="207.63508060866687"/>
  </r>
  <r>
    <x v="1"/>
    <n v="7500"/>
    <n v="7725"/>
    <n v="7956.75"/>
    <n v="8195.4525000000012"/>
    <n v="8441.3160750000006"/>
    <n v="8694.5555572499998"/>
    <n v="8955.3922239675012"/>
    <n v="9224.0539906865251"/>
    <n v="9500.7756104071213"/>
    <n v="9785.7988787193353"/>
    <n v="10079.372845080916"/>
    <n v="10381.754030433343"/>
  </r>
  <r>
    <x v="2"/>
    <n v="5250"/>
    <n v="5361.1500000000005"/>
    <n v="5475.9547012499997"/>
    <n v="5594.5631587996868"/>
    <n v="5717.1309647718317"/>
    <n v="5843.8205417191484"/>
    <n v="5974.8014492489892"/>
    <n v="6110.250704517679"/>
    <n v="6250.3531172236662"/>
    <n v="6395.3016397571764"/>
    <n v="6545.2977331939792"/>
    <n v="6700.5517498520876"/>
  </r>
  <r>
    <x v="3"/>
    <n v="20"/>
    <n v="19.600000000000001"/>
    <n v="19.208000000000002"/>
    <n v="18.823840000000001"/>
    <n v="18.447363200000002"/>
    <n v="18.078415936000003"/>
    <n v="17.716847617280003"/>
    <n v="17.362510664934401"/>
    <n v="17.015260451635712"/>
    <n v="16.674955242602998"/>
    <n v="16.341456137750939"/>
    <n v="16.01462701499592"/>
  </r>
  <r>
    <x v="4"/>
    <n v="5"/>
    <n v="4.95"/>
    <n v="4.9005000000000001"/>
    <n v="4.8514949999999999"/>
    <n v="4.8029800499999995"/>
    <n v="4.7549502494999993"/>
    <n v="4.707400747004999"/>
    <n v="4.6603267395349492"/>
    <n v="4.6137234721395997"/>
    <n v="4.5675862374182037"/>
    <n v="4.5219103750440217"/>
    <n v="4.4766912712935811"/>
  </r>
  <r>
    <x v="5"/>
    <n v="10"/>
    <n v="10.149999999999999"/>
    <n v="10.302249999999997"/>
    <n v="10.456783749999996"/>
    <n v="10.613635506249995"/>
    <n v="10.772840038843745"/>
    <n v="10.934432639426399"/>
    <n v="11.098449129017794"/>
    <n v="11.26492586595306"/>
    <n v="11.433899753942356"/>
    <n v="11.605408250251489"/>
    <n v="11.77948937400526"/>
  </r>
  <r>
    <x v="6"/>
    <n v="2250"/>
    <n v="2363.8499999999995"/>
    <n v="2480.7952987500003"/>
    <n v="2600.8893412003144"/>
    <n v="2724.1851102281689"/>
    <n v="2850.7350155308513"/>
    <n v="2980.590774718512"/>
    <n v="3113.8032861688462"/>
    <n v="3250.4224931834551"/>
    <n v="3390.4972389621589"/>
    <n v="3534.0751118869366"/>
    <n v="3681.2022805812558"/>
  </r>
  <r>
    <x v="7"/>
    <n v="0.3"/>
    <n v="0.30599999999999994"/>
    <n v="0.31178500000000003"/>
    <n v="0.3173576250000002"/>
    <n v="0.32272042487500013"/>
    <n v="0.32787587551312514"/>
    <n v="0.33282637992577202"/>
    <n v="0.33757426933025714"/>
    <n v="0.34212180420543264"/>
    <n v="0.34647117532072885"/>
    <n v="0.35062450473907097"/>
    <n v="0.35458384679410471"/>
  </r>
  <r>
    <x v="8"/>
    <n v="40000"/>
    <n v="40207.5"/>
    <n v="41702.862500000003"/>
    <n v="41926.386687500002"/>
    <n v="42158.383181562502"/>
    <n v="43730.374471317191"/>
    <n v="43980.29537134929"/>
    <n v="44239.693494623956"/>
    <n v="45893.37774362434"/>
    <n v="46172.826820407266"/>
    <n v="46462.877756307847"/>
    <n v="48203.760382052395"/>
  </r>
  <r>
    <x v="9"/>
    <n v="2500"/>
    <n v="2587.5"/>
    <n v="2678.0625"/>
    <n v="2771.7946874999998"/>
    <n v="2868.8075015624995"/>
    <n v="2969.2157641171866"/>
    <n v="3073.138315861288"/>
    <n v="3180.6981569164327"/>
    <n v="3292.0225924085075"/>
    <n v="3407.2433831428052"/>
    <n v="3526.4969015528031"/>
    <n v="3649.9242931071508"/>
  </r>
  <r>
    <x v="10"/>
    <n v="3000"/>
    <n v="3120"/>
    <n v="3244.8"/>
    <n v="3374.5920000000001"/>
    <n v="3509.5756800000004"/>
    <n v="3649.9587072000004"/>
    <n v="3795.9570554880006"/>
    <n v="3947.795337707521"/>
    <n v="4105.7071512158218"/>
    <n v="4269.9354372644548"/>
    <n v="4440.7328547550333"/>
    <n v="4618.3621689452348"/>
  </r>
  <r>
    <x v="11"/>
    <n v="2000"/>
    <n v="2000"/>
    <n v="2000"/>
    <n v="2000"/>
    <n v="2000"/>
    <n v="2000"/>
    <n v="2000"/>
    <n v="2000"/>
    <n v="2000"/>
    <n v="2000"/>
    <n v="2000"/>
    <n v="2000"/>
  </r>
  <r>
    <x v="12"/>
    <n v="500"/>
    <n v="500"/>
    <n v="500"/>
    <n v="500"/>
    <n v="500"/>
    <n v="500"/>
    <n v="500"/>
    <n v="500"/>
    <n v="500"/>
    <n v="500"/>
    <n v="500"/>
    <n v="500"/>
  </r>
  <r>
    <x v="13"/>
    <n v="8"/>
    <n v="8"/>
    <n v="8"/>
    <n v="8"/>
    <n v="8"/>
    <n v="8"/>
    <n v="8"/>
    <n v="8"/>
    <n v="8"/>
    <n v="8"/>
    <n v="8"/>
    <n v="8"/>
  </r>
  <r>
    <x v="14"/>
    <n v="4000"/>
    <n v="4000"/>
    <n v="4160"/>
    <n v="4160"/>
    <n v="4160"/>
    <n v="4326.4000000000005"/>
    <n v="4326.4000000000005"/>
    <n v="4326.4000000000005"/>
    <n v="4499.456000000001"/>
    <n v="4499.456000000001"/>
    <n v="4499.456000000001"/>
    <n v="4679.4342400000014"/>
  </r>
  <r>
    <x v="15"/>
    <n v="32000"/>
    <n v="32000"/>
    <n v="33280"/>
    <n v="33280"/>
    <n v="33280"/>
    <n v="34611.200000000004"/>
    <n v="34611.200000000004"/>
    <n v="34611.200000000004"/>
    <n v="35995.648000000008"/>
    <n v="35995.648000000008"/>
    <n v="35995.648000000008"/>
    <n v="37435.473920000011"/>
  </r>
  <r>
    <x v="16"/>
    <n v="-37750"/>
    <n v="-37843.65"/>
    <n v="-39222.06720125"/>
    <n v="-39325.497346299686"/>
    <n v="-39434.198071334336"/>
    <n v="-40879.639455786339"/>
    <n v="-40999.704596630778"/>
    <n v="-41125.890208455108"/>
    <n v="-42642.955250440886"/>
    <n v="-42782.329581445105"/>
    <n v="-42928.80264442091"/>
    <n v="-44522.558101471135"/>
  </r>
  <r>
    <x v="17"/>
    <n v="120"/>
    <n v="122.4"/>
    <n v="124.84800000000001"/>
    <n v="127.34496000000001"/>
    <n v="129.89185920000003"/>
    <n v="132.48969638400004"/>
    <n v="135.13949031168005"/>
    <n v="137.84228011791365"/>
    <n v="140.59912572027193"/>
    <n v="143.41110823467736"/>
    <n v="146.27933039937091"/>
    <n v="149.20491700735832"/>
  </r>
  <r>
    <x v="18"/>
    <n v="70"/>
    <n v="72.8"/>
    <n v="75.712000000000003"/>
    <n v="78.740480000000005"/>
    <n v="81.890099200000009"/>
    <n v="85.165703168000007"/>
    <n v="88.572331294720016"/>
    <n v="92.115224546508813"/>
    <n v="95.799833528369163"/>
    <n v="99.631826869503939"/>
    <n v="103.61709994428411"/>
    <n v="107.76178394205547"/>
  </r>
  <r>
    <x v="19"/>
    <n v="-37940"/>
    <n v="-38038.850000000006"/>
    <n v="-39422.627201249998"/>
    <n v="-39531.582786299688"/>
    <n v="-39645.980029734332"/>
    <n v="-41097.294855338339"/>
    <n v="-41223.416418237182"/>
    <n v="-41355.847713119525"/>
    <n v="-42879.354209689525"/>
    <n v="-43025.372516549287"/>
    <n v="-43178.699074764561"/>
    <n v="-44779.52480242055"/>
  </r>
  <r>
    <x v="20"/>
    <n v="100"/>
    <n v="100"/>
    <n v="100"/>
    <n v="100"/>
    <n v="100"/>
    <n v="100"/>
    <n v="100"/>
    <n v="100"/>
    <n v="100"/>
    <n v="100"/>
    <n v="100"/>
    <n v="100"/>
  </r>
  <r>
    <x v="21"/>
    <n v="-38040"/>
    <n v="-38138.850000000006"/>
    <n v="-39522.627201249998"/>
    <n v="-39631.582786299688"/>
    <n v="-39745.980029734332"/>
    <n v="-41197.294855338339"/>
    <n v="-41323.416418237182"/>
    <n v="-41455.847713119525"/>
    <n v="-42979.354209689525"/>
    <n v="-43125.372516549287"/>
    <n v="-43278.699074764561"/>
    <n v="-44879.52480242055"/>
  </r>
  <r>
    <x v="22"/>
    <n v="0"/>
    <n v="0"/>
    <n v="0"/>
    <n v="0"/>
    <n v="0"/>
    <n v="0"/>
    <n v="0"/>
    <n v="0"/>
    <n v="0"/>
    <n v="0"/>
    <n v="0"/>
    <n v="0"/>
  </r>
  <r>
    <x v="23"/>
    <n v="-38040"/>
    <n v="-38138.850000000006"/>
    <n v="-39522.627201249998"/>
    <n v="-39631.582786299688"/>
    <n v="-39745.980029734332"/>
    <n v="-41197.294855338339"/>
    <n v="-41323.416418237182"/>
    <n v="-41455.847713119525"/>
    <n v="-42979.354209689525"/>
    <n v="-43125.372516549287"/>
    <n v="-43278.699074764561"/>
    <n v="-44879.524802420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9AB33-CCE6-4115-B1EE-E6EBD703795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M11" firstHeaderRow="0" firstDataRow="1" firstDataCol="1"/>
  <pivotFields count="13">
    <pivotField axis="axisRow" showAll="0">
      <items count="25">
        <item h="1" x="18"/>
        <item h="1" x="14"/>
        <item x="2"/>
        <item h="1" x="17"/>
        <item h="1" x="19"/>
        <item x="16"/>
        <item h="1" x="21"/>
        <item x="8"/>
        <item x="7"/>
        <item x="6"/>
        <item h="1" x="3"/>
        <item h="1" x="20"/>
        <item h="1" x="5"/>
        <item h="1" x="9"/>
        <item x="23"/>
        <item h="1" x="4"/>
        <item h="1" x="10"/>
        <item h="1" x="11"/>
        <item x="1"/>
        <item h="1" x="15"/>
        <item h="1" x="13"/>
        <item h="1" x="22"/>
        <item h="1" x="0"/>
        <item h="1"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5"/>
    </i>
    <i>
      <x v="7"/>
    </i>
    <i>
      <x v="8"/>
    </i>
    <i>
      <x v="9"/>
    </i>
    <i>
      <x v="14"/>
    </i>
    <i>
      <x v="18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Month 1" fld="1" baseField="0" baseItem="2"/>
    <dataField name="Month 2" fld="2" baseField="0" baseItem="2"/>
    <dataField name="Month 3" fld="3" baseField="0" baseItem="2"/>
    <dataField name="Month 4" fld="4" baseField="0" baseItem="2"/>
    <dataField name="Month 5" fld="5" baseField="0" baseItem="2"/>
    <dataField name="Month 6" fld="6" baseField="0" baseItem="2"/>
    <dataField name="Month 7" fld="7" baseField="0" baseItem="2"/>
    <dataField name="Month 8" fld="8" baseField="0" baseItem="2"/>
    <dataField name="Month 9" fld="9" baseField="0" baseItem="2"/>
    <dataField name="Month 10" fld="10" baseField="0" baseItem="2"/>
    <dataField name="Month 11" fld="11" baseField="0" baseItem="2"/>
    <dataField name="Month 12" fld="12" baseField="0" baseItem="2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F3BE7-632E-4308-B367-78EE4B01121C}" name="Table1" displayName="Table1" ref="A1:B28" totalsRowShown="0" headerRowDxfId="21" headerRowBorderDxfId="20" tableBorderDxfId="19" totalsRowBorderDxfId="18">
  <tableColumns count="2">
    <tableColumn id="1" xr3:uid="{E3BB44ED-0689-4D3B-B15F-09DD6BD2EAE2}" name="Description"/>
    <tableColumn id="2" xr3:uid="{37A79B90-A8A1-44B5-9012-15D000164EAC}" name="Valu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04A349-8306-47F3-8C35-87933AC5B766}" name="Table2" displayName="Table2" ref="A1:M25" totalsRowShown="0" headerRowDxfId="17" dataDxfId="15" headerRowBorderDxfId="16" tableBorderDxfId="14" totalsRowBorderDxfId="13">
  <tableColumns count="13">
    <tableColumn id="1" xr3:uid="{38B2FF4E-53B1-4346-A68B-09C7A0280A70}" name="Description" dataDxfId="12"/>
    <tableColumn id="2" xr3:uid="{D9F54C25-6D23-4A12-8205-32AA7B591B6E}" name="1" dataDxfId="11"/>
    <tableColumn id="3" xr3:uid="{A37AEFF2-CB80-4657-8404-E7F7C39FFFCF}" name="2" dataDxfId="10"/>
    <tableColumn id="4" xr3:uid="{26472AD0-380E-46FD-B690-B839DB3BFBFA}" name="3" dataDxfId="9"/>
    <tableColumn id="5" xr3:uid="{0F1A43E0-C31F-4C65-B4F2-04E156E42256}" name="4" dataDxfId="8"/>
    <tableColumn id="6" xr3:uid="{41DEC447-DEBD-4E08-940D-AF00516E7839}" name="5" dataDxfId="7"/>
    <tableColumn id="7" xr3:uid="{D3C371FE-E14C-4B62-A3F4-5A33DCAB4679}" name="6" dataDxfId="6"/>
    <tableColumn id="8" xr3:uid="{8100163F-7C03-4A0B-B5CD-D02535270A84}" name="7" dataDxfId="5"/>
    <tableColumn id="9" xr3:uid="{FBED7856-622B-4F2A-B998-211EC41AB904}" name="8" dataDxfId="4"/>
    <tableColumn id="10" xr3:uid="{48FEB668-58E3-49C7-9BCB-F2DC441A2884}" name="9" dataDxfId="3"/>
    <tableColumn id="11" xr3:uid="{61A5B5E8-F7A1-4A06-BD85-8E8851E969E8}" name="10" dataDxfId="2"/>
    <tableColumn id="12" xr3:uid="{80EF6D34-D9D3-4CC0-8228-7F6B7E3ED17F}" name="11" dataDxfId="1"/>
    <tableColumn id="13" xr3:uid="{116D918E-EDF8-42C6-B8D6-15E23B7B39E0}" name="1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FD5EE-BDDB-4624-AF75-69970F8172BD}">
  <dimension ref="A1:B28"/>
  <sheetViews>
    <sheetView topLeftCell="A7" workbookViewId="0">
      <selection activeCell="B10" sqref="B10"/>
    </sheetView>
  </sheetViews>
  <sheetFormatPr defaultRowHeight="14.4" x14ac:dyDescent="0.3"/>
  <cols>
    <col min="1" max="2" width="27.6640625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5" t="s">
        <v>2</v>
      </c>
      <c r="B2" s="5">
        <v>150</v>
      </c>
    </row>
    <row r="3" spans="1:2" x14ac:dyDescent="0.3">
      <c r="A3" s="5" t="s">
        <v>3</v>
      </c>
      <c r="B3" s="5">
        <v>50</v>
      </c>
    </row>
    <row r="4" spans="1:2" x14ac:dyDescent="0.3">
      <c r="A4" s="5" t="s">
        <v>34</v>
      </c>
      <c r="B4" s="6">
        <v>0.03</v>
      </c>
    </row>
    <row r="5" spans="1:2" x14ac:dyDescent="0.3">
      <c r="A5" s="5" t="s">
        <v>35</v>
      </c>
      <c r="B5" s="5">
        <v>20</v>
      </c>
    </row>
    <row r="6" spans="1:2" ht="28.8" x14ac:dyDescent="0.3">
      <c r="A6" s="5" t="s">
        <v>36</v>
      </c>
      <c r="B6" s="6">
        <v>0.02</v>
      </c>
    </row>
    <row r="7" spans="1:2" x14ac:dyDescent="0.3">
      <c r="A7" s="5" t="s">
        <v>37</v>
      </c>
      <c r="B7" s="5">
        <v>5</v>
      </c>
    </row>
    <row r="8" spans="1:2" ht="28.8" x14ac:dyDescent="0.3">
      <c r="A8" s="5" t="s">
        <v>38</v>
      </c>
      <c r="B8" s="6">
        <v>0.01</v>
      </c>
    </row>
    <row r="9" spans="1:2" x14ac:dyDescent="0.3">
      <c r="A9" s="5" t="s">
        <v>4</v>
      </c>
      <c r="B9" s="5">
        <v>10</v>
      </c>
    </row>
    <row r="10" spans="1:2" ht="28.8" x14ac:dyDescent="0.3">
      <c r="A10" s="5" t="s">
        <v>5</v>
      </c>
      <c r="B10" s="6">
        <v>1.4999999999999999E-2</v>
      </c>
    </row>
    <row r="11" spans="1:2" x14ac:dyDescent="0.3">
      <c r="A11" s="5" t="s">
        <v>6</v>
      </c>
      <c r="B11" s="5">
        <v>2500</v>
      </c>
    </row>
    <row r="12" spans="1:2" ht="28.8" x14ac:dyDescent="0.3">
      <c r="A12" s="5" t="s">
        <v>7</v>
      </c>
      <c r="B12" s="7">
        <v>3.5000000000000003E-2</v>
      </c>
    </row>
    <row r="13" spans="1:2" x14ac:dyDescent="0.3">
      <c r="A13" s="5" t="s">
        <v>39</v>
      </c>
      <c r="B13" s="5">
        <v>3000</v>
      </c>
    </row>
    <row r="14" spans="1:2" ht="28.8" x14ac:dyDescent="0.3">
      <c r="A14" s="5" t="s">
        <v>40</v>
      </c>
      <c r="B14" s="6">
        <v>0.04</v>
      </c>
    </row>
    <row r="15" spans="1:2" x14ac:dyDescent="0.3">
      <c r="A15" s="5" t="s">
        <v>8</v>
      </c>
      <c r="B15" s="5">
        <v>2000</v>
      </c>
    </row>
    <row r="16" spans="1:2" x14ac:dyDescent="0.3">
      <c r="A16" s="5" t="s">
        <v>9</v>
      </c>
      <c r="B16" s="5">
        <v>500</v>
      </c>
    </row>
    <row r="17" spans="1:2" x14ac:dyDescent="0.3">
      <c r="A17" s="5" t="s">
        <v>10</v>
      </c>
      <c r="B17" s="5">
        <v>8</v>
      </c>
    </row>
    <row r="18" spans="1:2" x14ac:dyDescent="0.3">
      <c r="A18" s="5" t="s">
        <v>41</v>
      </c>
      <c r="B18" s="5">
        <v>4000</v>
      </c>
    </row>
    <row r="19" spans="1:2" x14ac:dyDescent="0.3">
      <c r="A19" s="5">
        <v>3</v>
      </c>
      <c r="B19" s="5">
        <v>1</v>
      </c>
    </row>
    <row r="20" spans="1:2" x14ac:dyDescent="0.3">
      <c r="A20" s="5">
        <v>7</v>
      </c>
      <c r="B20" s="5">
        <v>2</v>
      </c>
    </row>
    <row r="21" spans="1:2" x14ac:dyDescent="0.3">
      <c r="A21" s="5" t="s">
        <v>11</v>
      </c>
      <c r="B21" s="5">
        <v>3</v>
      </c>
    </row>
    <row r="22" spans="1:2" x14ac:dyDescent="0.3">
      <c r="A22" s="5" t="s">
        <v>12</v>
      </c>
      <c r="B22" s="6">
        <v>0.04</v>
      </c>
    </row>
    <row r="23" spans="1:2" x14ac:dyDescent="0.3">
      <c r="A23" s="5" t="s">
        <v>13</v>
      </c>
      <c r="B23" s="5">
        <v>120</v>
      </c>
    </row>
    <row r="24" spans="1:2" ht="28.8" x14ac:dyDescent="0.3">
      <c r="A24" s="5" t="s">
        <v>14</v>
      </c>
      <c r="B24" s="6">
        <v>0.02</v>
      </c>
    </row>
    <row r="25" spans="1:2" x14ac:dyDescent="0.3">
      <c r="A25" s="5" t="s">
        <v>15</v>
      </c>
      <c r="B25" s="5">
        <v>70</v>
      </c>
    </row>
    <row r="26" spans="1:2" ht="28.8" x14ac:dyDescent="0.3">
      <c r="A26" s="5" t="s">
        <v>16</v>
      </c>
      <c r="B26" s="6">
        <v>0.04</v>
      </c>
    </row>
    <row r="27" spans="1:2" x14ac:dyDescent="0.3">
      <c r="A27" s="5" t="s">
        <v>17</v>
      </c>
      <c r="B27" s="5">
        <v>100</v>
      </c>
    </row>
    <row r="28" spans="1:2" x14ac:dyDescent="0.3">
      <c r="A28" s="5" t="s">
        <v>18</v>
      </c>
      <c r="B28" s="6">
        <v>0.05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19B0-56B0-4FA2-90E1-3872FED2BF18}">
  <dimension ref="A1:M25"/>
  <sheetViews>
    <sheetView tabSelected="1" workbookViewId="0">
      <selection activeCell="F22" sqref="F22"/>
    </sheetView>
  </sheetViews>
  <sheetFormatPr defaultRowHeight="14.4" x14ac:dyDescent="0.3"/>
  <cols>
    <col min="1" max="1" width="22.21875" customWidth="1"/>
    <col min="2" max="13" width="13.109375" customWidth="1"/>
  </cols>
  <sheetData>
    <row r="1" spans="1:13" x14ac:dyDescent="0.3">
      <c r="A1" s="1" t="s">
        <v>0</v>
      </c>
      <c r="B1" s="13" t="s">
        <v>50</v>
      </c>
      <c r="C1" s="13" t="s">
        <v>51</v>
      </c>
      <c r="D1" s="13" t="s">
        <v>52</v>
      </c>
      <c r="E1" s="13" t="s">
        <v>53</v>
      </c>
      <c r="F1" s="13" t="s">
        <v>54</v>
      </c>
      <c r="G1" s="13" t="s">
        <v>55</v>
      </c>
      <c r="H1" s="13" t="s">
        <v>56</v>
      </c>
      <c r="I1" s="13" t="s">
        <v>57</v>
      </c>
      <c r="J1" s="13" t="s">
        <v>58</v>
      </c>
      <c r="K1" s="13" t="s">
        <v>59</v>
      </c>
      <c r="L1" s="13" t="s">
        <v>60</v>
      </c>
      <c r="M1" s="2" t="s">
        <v>61</v>
      </c>
    </row>
    <row r="2" spans="1:13" x14ac:dyDescent="0.3">
      <c r="A2" s="9" t="s">
        <v>31</v>
      </c>
      <c r="B2" s="3">
        <f>Table1[[#This Row],[Values]]</f>
        <v>150</v>
      </c>
      <c r="C2" s="3">
        <f>B2*(1+'Assumptions and Data'!$B$4)</f>
        <v>154.5</v>
      </c>
      <c r="D2" s="3">
        <f>C2*(1+'Assumptions and Data'!$B$4)</f>
        <v>159.13499999999999</v>
      </c>
      <c r="E2" s="3">
        <f>D2*(1+'Assumptions and Data'!$B$4)</f>
        <v>163.90905000000001</v>
      </c>
      <c r="F2" s="3">
        <f>E2*(1+'Assumptions and Data'!$B$4)</f>
        <v>168.82632150000001</v>
      </c>
      <c r="G2" s="3">
        <f>F2*(1+'Assumptions and Data'!$B$4)</f>
        <v>173.891111145</v>
      </c>
      <c r="H2" s="3">
        <f>G2*(1+'Assumptions and Data'!$B$4)</f>
        <v>179.10784447935001</v>
      </c>
      <c r="I2" s="3">
        <f>H2*(1+'Assumptions and Data'!$B$4)</f>
        <v>184.4810798137305</v>
      </c>
      <c r="J2" s="3">
        <f>I2*(1+'Assumptions and Data'!$B$4)</f>
        <v>190.01551220814241</v>
      </c>
      <c r="K2" s="3">
        <f>J2*(1+'Assumptions and Data'!$B$4)</f>
        <v>195.7159775743867</v>
      </c>
      <c r="L2" s="3">
        <f>K2*(1+'Assumptions and Data'!$B$4)</f>
        <v>201.58745690161831</v>
      </c>
      <c r="M2" s="11">
        <f>L2*(1+'Assumptions and Data'!$B$4)</f>
        <v>207.63508060866687</v>
      </c>
    </row>
    <row r="3" spans="1:13" s="4" customFormat="1" x14ac:dyDescent="0.3">
      <c r="A3" s="10" t="s">
        <v>23</v>
      </c>
      <c r="B3" s="8">
        <f>B2*'Assumptions and Data'!$B$3</f>
        <v>7500</v>
      </c>
      <c r="C3" s="8">
        <f>C2*'Assumptions and Data'!$B$3</f>
        <v>7725</v>
      </c>
      <c r="D3" s="8">
        <f>D2*'Assumptions and Data'!$B$3</f>
        <v>7956.75</v>
      </c>
      <c r="E3" s="8">
        <f>E2*'Assumptions and Data'!$B$3</f>
        <v>8195.4525000000012</v>
      </c>
      <c r="F3" s="8">
        <f>F2*'Assumptions and Data'!$B$3</f>
        <v>8441.3160750000006</v>
      </c>
      <c r="G3" s="8">
        <f>G2*'Assumptions and Data'!$B$3</f>
        <v>8694.5555572499998</v>
      </c>
      <c r="H3" s="8">
        <f>H2*'Assumptions and Data'!$B$3</f>
        <v>8955.3922239675012</v>
      </c>
      <c r="I3" s="8">
        <f>I2*'Assumptions and Data'!$B$3</f>
        <v>9224.0539906865251</v>
      </c>
      <c r="J3" s="8">
        <f>J2*'Assumptions and Data'!$B$3</f>
        <v>9500.7756104071213</v>
      </c>
      <c r="K3" s="8">
        <f>K2*'Assumptions and Data'!$B$3</f>
        <v>9785.7988787193353</v>
      </c>
      <c r="L3" s="8">
        <f>L2*'Assumptions and Data'!$B$3</f>
        <v>10079.372845080916</v>
      </c>
      <c r="M3" s="12">
        <f>M2*'Assumptions and Data'!$B$3</f>
        <v>10381.754030433343</v>
      </c>
    </row>
    <row r="4" spans="1:13" s="4" customFormat="1" x14ac:dyDescent="0.3">
      <c r="A4" s="10" t="s">
        <v>19</v>
      </c>
      <c r="B4" s="8">
        <f>B2*('Monthly P&amp;L Calculation'!B5+'Monthly P&amp;L Calculation'!B6+'Monthly P&amp;L Calculation'!B7)</f>
        <v>5250</v>
      </c>
      <c r="C4" s="8">
        <f>C2*('Monthly P&amp;L Calculation'!C5+'Monthly P&amp;L Calculation'!C6+'Monthly P&amp;L Calculation'!C7)</f>
        <v>5361.1500000000005</v>
      </c>
      <c r="D4" s="8">
        <f>D2*('Monthly P&amp;L Calculation'!D5+'Monthly P&amp;L Calculation'!D6+'Monthly P&amp;L Calculation'!D7)</f>
        <v>5475.9547012499997</v>
      </c>
      <c r="E4" s="8">
        <f>E2*('Monthly P&amp;L Calculation'!E5+'Monthly P&amp;L Calculation'!E6+'Monthly P&amp;L Calculation'!E7)</f>
        <v>5594.5631587996868</v>
      </c>
      <c r="F4" s="8">
        <f>F2*('Monthly P&amp;L Calculation'!F5+'Monthly P&amp;L Calculation'!F6+'Monthly P&amp;L Calculation'!F7)</f>
        <v>5717.1309647718317</v>
      </c>
      <c r="G4" s="8">
        <f>G2*('Monthly P&amp;L Calculation'!G5+'Monthly P&amp;L Calculation'!G6+'Monthly P&amp;L Calculation'!G7)</f>
        <v>5843.8205417191484</v>
      </c>
      <c r="H4" s="8">
        <f>H2*('Monthly P&amp;L Calculation'!H5+'Monthly P&amp;L Calculation'!H6+'Monthly P&amp;L Calculation'!H7)</f>
        <v>5974.8014492489892</v>
      </c>
      <c r="I4" s="8">
        <f>I2*('Monthly P&amp;L Calculation'!I5+'Monthly P&amp;L Calculation'!I6+'Monthly P&amp;L Calculation'!I7)</f>
        <v>6110.250704517679</v>
      </c>
      <c r="J4" s="8">
        <f>J2*('Monthly P&amp;L Calculation'!J5+'Monthly P&amp;L Calculation'!J6+'Monthly P&amp;L Calculation'!J7)</f>
        <v>6250.3531172236662</v>
      </c>
      <c r="K4" s="8">
        <f>K2*('Monthly P&amp;L Calculation'!K5+'Monthly P&amp;L Calculation'!K6+'Monthly P&amp;L Calculation'!K7)</f>
        <v>6395.3016397571764</v>
      </c>
      <c r="L4" s="8">
        <f>L2*('Monthly P&amp;L Calculation'!L5+'Monthly P&amp;L Calculation'!L6+'Monthly P&amp;L Calculation'!L7)</f>
        <v>6545.2977331939792</v>
      </c>
      <c r="M4" s="12">
        <f>M2*('Monthly P&amp;L Calculation'!M5+'Monthly P&amp;L Calculation'!M6+'Monthly P&amp;L Calculation'!M7)</f>
        <v>6700.5517498520876</v>
      </c>
    </row>
    <row r="5" spans="1:13" x14ac:dyDescent="0.3">
      <c r="A5" s="9" t="s">
        <v>42</v>
      </c>
      <c r="B5" s="3">
        <f>'Assumptions and Data'!B5</f>
        <v>20</v>
      </c>
      <c r="C5" s="3">
        <f>B5*(1-'Assumptions and Data'!$B$6)</f>
        <v>19.600000000000001</v>
      </c>
      <c r="D5" s="3">
        <f>C5*(1-'Assumptions and Data'!$B$6)</f>
        <v>19.208000000000002</v>
      </c>
      <c r="E5" s="3">
        <f>D5*(1-'Assumptions and Data'!$B$6)</f>
        <v>18.823840000000001</v>
      </c>
      <c r="F5" s="3">
        <f>E5*(1-'Assumptions and Data'!$B$6)</f>
        <v>18.447363200000002</v>
      </c>
      <c r="G5" s="3">
        <f>F5*(1-'Assumptions and Data'!$B$6)</f>
        <v>18.078415936000003</v>
      </c>
      <c r="H5" s="3">
        <f>G5*(1-'Assumptions and Data'!$B$6)</f>
        <v>17.716847617280003</v>
      </c>
      <c r="I5" s="3">
        <f>H5*(1-'Assumptions and Data'!$B$6)</f>
        <v>17.362510664934401</v>
      </c>
      <c r="J5" s="3">
        <f>I5*(1-'Assumptions and Data'!$B$6)</f>
        <v>17.015260451635712</v>
      </c>
      <c r="K5" s="3">
        <f>J5*(1-'Assumptions and Data'!$B$6)</f>
        <v>16.674955242602998</v>
      </c>
      <c r="L5" s="3">
        <f>K5*(1-'Assumptions and Data'!$B$6)</f>
        <v>16.341456137750939</v>
      </c>
      <c r="M5" s="11">
        <f>L5*(1-'Assumptions and Data'!$B$6)</f>
        <v>16.01462701499592</v>
      </c>
    </row>
    <row r="6" spans="1:13" x14ac:dyDescent="0.3">
      <c r="A6" s="9" t="s">
        <v>43</v>
      </c>
      <c r="B6" s="3">
        <f>'Assumptions and Data'!B7</f>
        <v>5</v>
      </c>
      <c r="C6" s="3">
        <f>B6*(1-'Assumptions and Data'!$B$8)</f>
        <v>4.95</v>
      </c>
      <c r="D6" s="3">
        <f>C6*(1-'Assumptions and Data'!$B$8)</f>
        <v>4.9005000000000001</v>
      </c>
      <c r="E6" s="3">
        <f>D6*(1-'Assumptions and Data'!$B$8)</f>
        <v>4.8514949999999999</v>
      </c>
      <c r="F6" s="3">
        <f>E6*(1-'Assumptions and Data'!$B$8)</f>
        <v>4.8029800499999995</v>
      </c>
      <c r="G6" s="3">
        <f>F6*(1-'Assumptions and Data'!$B$8)</f>
        <v>4.7549502494999993</v>
      </c>
      <c r="H6" s="3">
        <f>G6*(1-'Assumptions and Data'!$B$8)</f>
        <v>4.707400747004999</v>
      </c>
      <c r="I6" s="3">
        <f>H6*(1-'Assumptions and Data'!$B$8)</f>
        <v>4.6603267395349492</v>
      </c>
      <c r="J6" s="3">
        <f>I6*(1-'Assumptions and Data'!$B$8)</f>
        <v>4.6137234721395997</v>
      </c>
      <c r="K6" s="3">
        <f>J6*(1-'Assumptions and Data'!$B$8)</f>
        <v>4.5675862374182037</v>
      </c>
      <c r="L6" s="3">
        <f>K6*(1-'Assumptions and Data'!$B$8)</f>
        <v>4.5219103750440217</v>
      </c>
      <c r="M6" s="11">
        <f>L6*(1-'Assumptions and Data'!$B$8)</f>
        <v>4.4766912712935811</v>
      </c>
    </row>
    <row r="7" spans="1:13" x14ac:dyDescent="0.3">
      <c r="A7" s="9" t="s">
        <v>44</v>
      </c>
      <c r="B7" s="3">
        <f>'Assumptions and Data'!B9</f>
        <v>10</v>
      </c>
      <c r="C7" s="3">
        <f>B7*(1+'Assumptions and Data'!$B$10)</f>
        <v>10.149999999999999</v>
      </c>
      <c r="D7" s="3">
        <f>C7*(1+'Assumptions and Data'!$B$10)</f>
        <v>10.302249999999997</v>
      </c>
      <c r="E7" s="3">
        <f>D7*(1+'Assumptions and Data'!$B$10)</f>
        <v>10.456783749999996</v>
      </c>
      <c r="F7" s="3">
        <f>E7*(1+'Assumptions and Data'!$B$10)</f>
        <v>10.613635506249995</v>
      </c>
      <c r="G7" s="3">
        <f>F7*(1+'Assumptions and Data'!$B$10)</f>
        <v>10.772840038843745</v>
      </c>
      <c r="H7" s="3">
        <f>G7*(1+'Assumptions and Data'!$B$10)</f>
        <v>10.934432639426399</v>
      </c>
      <c r="I7" s="3">
        <f>H7*(1+'Assumptions and Data'!$B$10)</f>
        <v>11.098449129017794</v>
      </c>
      <c r="J7" s="3">
        <f>I7*(1+'Assumptions and Data'!$B$10)</f>
        <v>11.26492586595306</v>
      </c>
      <c r="K7" s="3">
        <f>J7*(1+'Assumptions and Data'!$B$10)</f>
        <v>11.433899753942356</v>
      </c>
      <c r="L7" s="3">
        <f>K7*(1+'Assumptions and Data'!$B$10)</f>
        <v>11.605408250251489</v>
      </c>
      <c r="M7" s="11">
        <f>L7*(1+'Assumptions and Data'!$B$10)</f>
        <v>11.77948937400526</v>
      </c>
    </row>
    <row r="8" spans="1:13" s="4" customFormat="1" x14ac:dyDescent="0.3">
      <c r="A8" s="10" t="s">
        <v>20</v>
      </c>
      <c r="B8" s="8">
        <f>B3-B4</f>
        <v>2250</v>
      </c>
      <c r="C8" s="8">
        <f t="shared" ref="C8:M8" si="0">C3-C4</f>
        <v>2363.8499999999995</v>
      </c>
      <c r="D8" s="8">
        <f t="shared" si="0"/>
        <v>2480.7952987500003</v>
      </c>
      <c r="E8" s="8">
        <f t="shared" si="0"/>
        <v>2600.8893412003144</v>
      </c>
      <c r="F8" s="8">
        <f t="shared" si="0"/>
        <v>2724.1851102281689</v>
      </c>
      <c r="G8" s="8">
        <f t="shared" si="0"/>
        <v>2850.7350155308513</v>
      </c>
      <c r="H8" s="8">
        <f t="shared" si="0"/>
        <v>2980.590774718512</v>
      </c>
      <c r="I8" s="8">
        <f t="shared" si="0"/>
        <v>3113.8032861688462</v>
      </c>
      <c r="J8" s="8">
        <f t="shared" si="0"/>
        <v>3250.4224931834551</v>
      </c>
      <c r="K8" s="8">
        <f t="shared" si="0"/>
        <v>3390.4972389621589</v>
      </c>
      <c r="L8" s="8">
        <f t="shared" si="0"/>
        <v>3534.0751118869366</v>
      </c>
      <c r="M8" s="12">
        <f t="shared" si="0"/>
        <v>3681.2022805812558</v>
      </c>
    </row>
    <row r="9" spans="1:13" s="4" customFormat="1" x14ac:dyDescent="0.3">
      <c r="A9" s="10" t="s">
        <v>49</v>
      </c>
      <c r="B9" s="8">
        <f>B8/B3</f>
        <v>0.3</v>
      </c>
      <c r="C9" s="8">
        <f t="shared" ref="C9:M9" si="1">C8/C3</f>
        <v>0.30599999999999994</v>
      </c>
      <c r="D9" s="8">
        <f t="shared" si="1"/>
        <v>0.31178500000000003</v>
      </c>
      <c r="E9" s="8">
        <f t="shared" si="1"/>
        <v>0.3173576250000002</v>
      </c>
      <c r="F9" s="8">
        <f t="shared" si="1"/>
        <v>0.32272042487500013</v>
      </c>
      <c r="G9" s="8">
        <f t="shared" si="1"/>
        <v>0.32787587551312514</v>
      </c>
      <c r="H9" s="8">
        <f t="shared" si="1"/>
        <v>0.33282637992577202</v>
      </c>
      <c r="I9" s="8">
        <f t="shared" si="1"/>
        <v>0.33757426933025714</v>
      </c>
      <c r="J9" s="8">
        <f t="shared" si="1"/>
        <v>0.34212180420543264</v>
      </c>
      <c r="K9" s="8">
        <f t="shared" si="1"/>
        <v>0.34647117532072885</v>
      </c>
      <c r="L9" s="8">
        <f t="shared" si="1"/>
        <v>0.35062450473907097</v>
      </c>
      <c r="M9" s="12">
        <f t="shared" si="1"/>
        <v>0.35458384679410471</v>
      </c>
    </row>
    <row r="10" spans="1:13" s="4" customFormat="1" x14ac:dyDescent="0.3">
      <c r="A10" s="10" t="s">
        <v>33</v>
      </c>
      <c r="B10" s="8">
        <f>B11+B12+B13+B14+B17</f>
        <v>40000</v>
      </c>
      <c r="C10" s="8">
        <f t="shared" ref="C10:M10" si="2">C11+C12+C13+C14+C17</f>
        <v>40207.5</v>
      </c>
      <c r="D10" s="8">
        <f t="shared" si="2"/>
        <v>41702.862500000003</v>
      </c>
      <c r="E10" s="8">
        <f t="shared" si="2"/>
        <v>41926.386687500002</v>
      </c>
      <c r="F10" s="8">
        <f t="shared" si="2"/>
        <v>42158.383181562502</v>
      </c>
      <c r="G10" s="8">
        <f t="shared" si="2"/>
        <v>43730.374471317191</v>
      </c>
      <c r="H10" s="8">
        <f t="shared" si="2"/>
        <v>43980.29537134929</v>
      </c>
      <c r="I10" s="8">
        <f t="shared" si="2"/>
        <v>44239.693494623956</v>
      </c>
      <c r="J10" s="8">
        <f t="shared" si="2"/>
        <v>45893.37774362434</v>
      </c>
      <c r="K10" s="8">
        <f t="shared" si="2"/>
        <v>46172.826820407266</v>
      </c>
      <c r="L10" s="8">
        <f t="shared" si="2"/>
        <v>46462.877756307847</v>
      </c>
      <c r="M10" s="12">
        <f t="shared" si="2"/>
        <v>48203.760382052395</v>
      </c>
    </row>
    <row r="11" spans="1:13" s="4" customFormat="1" x14ac:dyDescent="0.3">
      <c r="A11" s="9" t="s">
        <v>48</v>
      </c>
      <c r="B11" s="3">
        <f>'Assumptions and Data'!B11</f>
        <v>2500</v>
      </c>
      <c r="C11" s="3">
        <f>B11*(1+'Assumptions and Data'!$B$12)</f>
        <v>2587.5</v>
      </c>
      <c r="D11" s="3">
        <f>C11*(1+'Assumptions and Data'!$B$12)</f>
        <v>2678.0625</v>
      </c>
      <c r="E11" s="3">
        <f>D11*(1+'Assumptions and Data'!$B$12)</f>
        <v>2771.7946874999998</v>
      </c>
      <c r="F11" s="3">
        <f>E11*(1+'Assumptions and Data'!$B$12)</f>
        <v>2868.8075015624995</v>
      </c>
      <c r="G11" s="3">
        <f>F11*(1+'Assumptions and Data'!$B$12)</f>
        <v>2969.2157641171866</v>
      </c>
      <c r="H11" s="3">
        <f>G11*(1+'Assumptions and Data'!$B$12)</f>
        <v>3073.138315861288</v>
      </c>
      <c r="I11" s="3">
        <f>H11*(1+'Assumptions and Data'!$B$12)</f>
        <v>3180.6981569164327</v>
      </c>
      <c r="J11" s="3">
        <f>I11*(1+'Assumptions and Data'!$B$12)</f>
        <v>3292.0225924085075</v>
      </c>
      <c r="K11" s="3">
        <f>J11*(1+'Assumptions and Data'!$B$12)</f>
        <v>3407.2433831428052</v>
      </c>
      <c r="L11" s="3">
        <f>K11*(1+'Assumptions and Data'!$B$12)</f>
        <v>3526.4969015528031</v>
      </c>
      <c r="M11" s="11">
        <f>L11*(1+'Assumptions and Data'!$B$12)</f>
        <v>3649.9242931071508</v>
      </c>
    </row>
    <row r="12" spans="1:13" x14ac:dyDescent="0.3">
      <c r="A12" s="9" t="s">
        <v>47</v>
      </c>
      <c r="B12" s="3">
        <f>'Assumptions and Data'!B13</f>
        <v>3000</v>
      </c>
      <c r="C12" s="3">
        <f>B12*(1+'Assumptions and Data'!$B$14)</f>
        <v>3120</v>
      </c>
      <c r="D12" s="3">
        <f>C12*(1+'Assumptions and Data'!$B$14)</f>
        <v>3244.8</v>
      </c>
      <c r="E12" s="3">
        <f>D12*(1+'Assumptions and Data'!$B$14)</f>
        <v>3374.5920000000001</v>
      </c>
      <c r="F12" s="3">
        <f>E12*(1+'Assumptions and Data'!$B$14)</f>
        <v>3509.5756800000004</v>
      </c>
      <c r="G12" s="3">
        <f>F12*(1+'Assumptions and Data'!$B$14)</f>
        <v>3649.9587072000004</v>
      </c>
      <c r="H12" s="3">
        <f>G12*(1+'Assumptions and Data'!$B$14)</f>
        <v>3795.9570554880006</v>
      </c>
      <c r="I12" s="3">
        <f>H12*(1+'Assumptions and Data'!$B$14)</f>
        <v>3947.795337707521</v>
      </c>
      <c r="J12" s="3">
        <f>I12*(1+'Assumptions and Data'!$B$14)</f>
        <v>4105.7071512158218</v>
      </c>
      <c r="K12" s="3">
        <f>J12*(1+'Assumptions and Data'!$B$14)</f>
        <v>4269.9354372644548</v>
      </c>
      <c r="L12" s="3">
        <f>K12*(1+'Assumptions and Data'!$B$14)</f>
        <v>4440.7328547550333</v>
      </c>
      <c r="M12" s="11">
        <f>L12*(1+'Assumptions and Data'!$B$14)</f>
        <v>4618.3621689452348</v>
      </c>
    </row>
    <row r="13" spans="1:13" x14ac:dyDescent="0.3">
      <c r="A13" s="9" t="s">
        <v>8</v>
      </c>
      <c r="B13" s="3">
        <f>'Assumptions and Data'!$B$15</f>
        <v>2000</v>
      </c>
      <c r="C13" s="3">
        <f>'Assumptions and Data'!$B$15</f>
        <v>2000</v>
      </c>
      <c r="D13" s="3">
        <f>'Assumptions and Data'!$B$15</f>
        <v>2000</v>
      </c>
      <c r="E13" s="3">
        <f>'Assumptions and Data'!$B$15</f>
        <v>2000</v>
      </c>
      <c r="F13" s="3">
        <f>'Assumptions and Data'!$B$15</f>
        <v>2000</v>
      </c>
      <c r="G13" s="3">
        <f>'Assumptions and Data'!$B$15</f>
        <v>2000</v>
      </c>
      <c r="H13" s="3">
        <f>'Assumptions and Data'!$B$15</f>
        <v>2000</v>
      </c>
      <c r="I13" s="3">
        <f>'Assumptions and Data'!$B$15</f>
        <v>2000</v>
      </c>
      <c r="J13" s="3">
        <f>'Assumptions and Data'!$B$15</f>
        <v>2000</v>
      </c>
      <c r="K13" s="3">
        <f>'Assumptions and Data'!$B$15</f>
        <v>2000</v>
      </c>
      <c r="L13" s="3">
        <f>'Assumptions and Data'!$B$15</f>
        <v>2000</v>
      </c>
      <c r="M13" s="11">
        <f>'Assumptions and Data'!$B$15</f>
        <v>2000</v>
      </c>
    </row>
    <row r="14" spans="1:13" x14ac:dyDescent="0.3">
      <c r="A14" s="9" t="s">
        <v>45</v>
      </c>
      <c r="B14" s="3">
        <f>'Assumptions and Data'!$B$16</f>
        <v>500</v>
      </c>
      <c r="C14" s="3">
        <f>'Assumptions and Data'!$B$16</f>
        <v>500</v>
      </c>
      <c r="D14" s="3">
        <f>'Assumptions and Data'!$B$16</f>
        <v>500</v>
      </c>
      <c r="E14" s="3">
        <f>'Assumptions and Data'!$B$16</f>
        <v>500</v>
      </c>
      <c r="F14" s="3">
        <f>'Assumptions and Data'!$B$16</f>
        <v>500</v>
      </c>
      <c r="G14" s="3">
        <f>'Assumptions and Data'!$B$16</f>
        <v>500</v>
      </c>
      <c r="H14" s="3">
        <f>'Assumptions and Data'!$B$16</f>
        <v>500</v>
      </c>
      <c r="I14" s="3">
        <f>'Assumptions and Data'!$B$16</f>
        <v>500</v>
      </c>
      <c r="J14" s="3">
        <f>'Assumptions and Data'!$B$16</f>
        <v>500</v>
      </c>
      <c r="K14" s="3">
        <f>'Assumptions and Data'!$B$16</f>
        <v>500</v>
      </c>
      <c r="L14" s="3">
        <f>'Assumptions and Data'!$B$16</f>
        <v>500</v>
      </c>
      <c r="M14" s="11">
        <f>'Assumptions and Data'!$B$16</f>
        <v>500</v>
      </c>
    </row>
    <row r="15" spans="1:13" x14ac:dyDescent="0.3">
      <c r="A15" s="9" t="s">
        <v>46</v>
      </c>
      <c r="B15" s="3">
        <f>'Assumptions and Data'!B17</f>
        <v>8</v>
      </c>
      <c r="C15" s="3">
        <f>IF(C1='Assumptions and Data'!$A$19, B15 + 'Assumptions and Data'!$B$19, IF(C1='Assumptions and Data'!$A$20, B15 + 'Assumptions and Data'!$B$20, B15))</f>
        <v>8</v>
      </c>
      <c r="D15" s="3">
        <f>IF(D1='Assumptions and Data'!$A$19, C15 + 'Assumptions and Data'!$B$19, IF(D1='Assumptions and Data'!$A$20, C15 + 'Assumptions and Data'!$B$20, C15))</f>
        <v>8</v>
      </c>
      <c r="E15" s="3">
        <f>IF(E1='Assumptions and Data'!$A$19, D15 + 'Assumptions and Data'!$B$19, IF(E1='Assumptions and Data'!$A$20, D15 + 'Assumptions and Data'!$B$20, D15))</f>
        <v>8</v>
      </c>
      <c r="F15" s="3">
        <f>IF(F1='Assumptions and Data'!$A$19, E15 + 'Assumptions and Data'!$B$19, IF(F1='Assumptions and Data'!$A$20, E15 + 'Assumptions and Data'!$B$20, E15))</f>
        <v>8</v>
      </c>
      <c r="G15" s="3">
        <f>IF(G1='Assumptions and Data'!$A$19, F15 + 'Assumptions and Data'!$B$19, IF(G1='Assumptions and Data'!$A$20, F15 + 'Assumptions and Data'!$B$20, F15))</f>
        <v>8</v>
      </c>
      <c r="H15" s="3">
        <f>IF(H1='Assumptions and Data'!$A$19, G15 + 'Assumptions and Data'!$B$19, IF(H1='Assumptions and Data'!$A$20, G15 + 'Assumptions and Data'!$B$20, G15))</f>
        <v>8</v>
      </c>
      <c r="I15" s="3">
        <f>IF(I1='Assumptions and Data'!$A$19, H15 + 'Assumptions and Data'!$B$19, IF(I1='Assumptions and Data'!$A$20, H15 + 'Assumptions and Data'!$B$20, H15))</f>
        <v>8</v>
      </c>
      <c r="J15" s="3">
        <f>IF(J1='Assumptions and Data'!$A$19, I15 + 'Assumptions and Data'!$B$19, IF(J1='Assumptions and Data'!$A$20, I15 + 'Assumptions and Data'!$B$20, I15))</f>
        <v>8</v>
      </c>
      <c r="K15" s="3">
        <f>IF(K1='Assumptions and Data'!$A$19, J15 + 'Assumptions and Data'!$B$19, IF(K1='Assumptions and Data'!$A$20, J15 + 'Assumptions and Data'!$B$20, J15))</f>
        <v>8</v>
      </c>
      <c r="L15" s="3">
        <f>IF(L1='Assumptions and Data'!$A$19, K15 + 'Assumptions and Data'!$B$19, IF(L1='Assumptions and Data'!$A$20, K15 + 'Assumptions and Data'!$B$20, K15))</f>
        <v>8</v>
      </c>
      <c r="M15" s="11">
        <f>IF(M1='Assumptions and Data'!$A$19, L15 + 'Assumptions and Data'!$B$19, IF(M1='Assumptions and Data'!$A$20, L15 + 'Assumptions and Data'!$B$20, L15))</f>
        <v>8</v>
      </c>
    </row>
    <row r="16" spans="1:13" x14ac:dyDescent="0.3">
      <c r="A16" s="9" t="s">
        <v>32</v>
      </c>
      <c r="B16" s="3">
        <f>'Assumptions and Data'!B18</f>
        <v>4000</v>
      </c>
      <c r="C16" s="3">
        <f>IF(MOD(C1, 'Assumptions and Data'!$B$21) = 0,B16*(1+'Assumptions and Data'!$B$22),B16)</f>
        <v>4000</v>
      </c>
      <c r="D16" s="3">
        <f>IF(MOD(D1, 'Assumptions and Data'!$B$21) = 0,C16*(1+'Assumptions and Data'!$B$22),C16)</f>
        <v>4160</v>
      </c>
      <c r="E16" s="3">
        <f>IF(MOD(E1, 'Assumptions and Data'!$B$21) = 0,D16*(1+'Assumptions and Data'!$B$22),D16)</f>
        <v>4160</v>
      </c>
      <c r="F16" s="3">
        <f>IF(MOD(F1, 'Assumptions and Data'!$B$21) = 0,E16*(1+'Assumptions and Data'!$B$22),E16)</f>
        <v>4160</v>
      </c>
      <c r="G16" s="3">
        <f>IF(MOD(G1, 'Assumptions and Data'!$B$21) = 0,F16*(1+'Assumptions and Data'!$B$22),F16)</f>
        <v>4326.4000000000005</v>
      </c>
      <c r="H16" s="3">
        <f>IF(MOD(H1, 'Assumptions and Data'!$B$21) = 0,G16*(1+'Assumptions and Data'!$B$22),G16)</f>
        <v>4326.4000000000005</v>
      </c>
      <c r="I16" s="3">
        <f>IF(MOD(I1, 'Assumptions and Data'!$B$21) = 0,H16*(1+'Assumptions and Data'!$B$22),H16)</f>
        <v>4326.4000000000005</v>
      </c>
      <c r="J16" s="3">
        <f>IF(MOD(J1, 'Assumptions and Data'!$B$21) = 0,I16*(1+'Assumptions and Data'!$B$22),I16)</f>
        <v>4499.456000000001</v>
      </c>
      <c r="K16" s="3">
        <f>IF(MOD(K1, 'Assumptions and Data'!$B$21) = 0,J16*(1+'Assumptions and Data'!$B$22),J16)</f>
        <v>4499.456000000001</v>
      </c>
      <c r="L16" s="3">
        <f>IF(MOD(L1, 'Assumptions and Data'!$B$21) = 0,K16*(1+'Assumptions and Data'!$B$22),K16)</f>
        <v>4499.456000000001</v>
      </c>
      <c r="M16" s="11">
        <f>IF(MOD(M1, 'Assumptions and Data'!$B$21) = 0,L16*(1+'Assumptions and Data'!$B$22),L16)</f>
        <v>4679.4342400000014</v>
      </c>
    </row>
    <row r="17" spans="1:13" x14ac:dyDescent="0.3">
      <c r="A17" s="9" t="s">
        <v>30</v>
      </c>
      <c r="B17" s="3">
        <f>B15*B16</f>
        <v>32000</v>
      </c>
      <c r="C17" s="3">
        <f t="shared" ref="C17:M17" si="3">C15*C16</f>
        <v>32000</v>
      </c>
      <c r="D17" s="3">
        <f t="shared" si="3"/>
        <v>33280</v>
      </c>
      <c r="E17" s="3">
        <f t="shared" si="3"/>
        <v>33280</v>
      </c>
      <c r="F17" s="3">
        <f t="shared" si="3"/>
        <v>33280</v>
      </c>
      <c r="G17" s="3">
        <f t="shared" si="3"/>
        <v>34611.200000000004</v>
      </c>
      <c r="H17" s="3">
        <f t="shared" si="3"/>
        <v>34611.200000000004</v>
      </c>
      <c r="I17" s="3">
        <f t="shared" si="3"/>
        <v>34611.200000000004</v>
      </c>
      <c r="J17" s="3">
        <f t="shared" si="3"/>
        <v>35995.648000000008</v>
      </c>
      <c r="K17" s="3">
        <f t="shared" si="3"/>
        <v>35995.648000000008</v>
      </c>
      <c r="L17" s="3">
        <f t="shared" si="3"/>
        <v>35995.648000000008</v>
      </c>
      <c r="M17" s="11">
        <f t="shared" si="3"/>
        <v>37435.473920000011</v>
      </c>
    </row>
    <row r="18" spans="1:13" s="4" customFormat="1" x14ac:dyDescent="0.3">
      <c r="A18" s="10" t="s">
        <v>21</v>
      </c>
      <c r="B18" s="8">
        <f>B8-B10</f>
        <v>-37750</v>
      </c>
      <c r="C18" s="8">
        <f t="shared" ref="C18:M18" si="4">C8-C10</f>
        <v>-37843.65</v>
      </c>
      <c r="D18" s="8">
        <f t="shared" si="4"/>
        <v>-39222.06720125</v>
      </c>
      <c r="E18" s="8">
        <f t="shared" si="4"/>
        <v>-39325.497346299686</v>
      </c>
      <c r="F18" s="8">
        <f t="shared" si="4"/>
        <v>-39434.198071334336</v>
      </c>
      <c r="G18" s="8">
        <f t="shared" si="4"/>
        <v>-40879.639455786339</v>
      </c>
      <c r="H18" s="8">
        <f t="shared" si="4"/>
        <v>-40999.704596630778</v>
      </c>
      <c r="I18" s="8">
        <f t="shared" si="4"/>
        <v>-41125.890208455108</v>
      </c>
      <c r="J18" s="8">
        <f t="shared" si="4"/>
        <v>-42642.955250440886</v>
      </c>
      <c r="K18" s="8">
        <f t="shared" si="4"/>
        <v>-42782.329581445105</v>
      </c>
      <c r="L18" s="8">
        <f t="shared" si="4"/>
        <v>-42928.80264442091</v>
      </c>
      <c r="M18" s="12">
        <f t="shared" si="4"/>
        <v>-44522.558101471135</v>
      </c>
    </row>
    <row r="19" spans="1:13" x14ac:dyDescent="0.3">
      <c r="A19" s="9" t="s">
        <v>28</v>
      </c>
      <c r="B19" s="3">
        <f>'Assumptions and Data'!B23</f>
        <v>120</v>
      </c>
      <c r="C19" s="3">
        <f>B19*(1+'Assumptions and Data'!$B$24)</f>
        <v>122.4</v>
      </c>
      <c r="D19" s="3">
        <f>C19*(1+'Assumptions and Data'!$B$24)</f>
        <v>124.84800000000001</v>
      </c>
      <c r="E19" s="3">
        <f>D19*(1+'Assumptions and Data'!$B$24)</f>
        <v>127.34496000000001</v>
      </c>
      <c r="F19" s="3">
        <f>E19*(1+'Assumptions and Data'!$B$24)</f>
        <v>129.89185920000003</v>
      </c>
      <c r="G19" s="3">
        <f>F19*(1+'Assumptions and Data'!$B$24)</f>
        <v>132.48969638400004</v>
      </c>
      <c r="H19" s="3">
        <f>G19*(1+'Assumptions and Data'!$B$24)</f>
        <v>135.13949031168005</v>
      </c>
      <c r="I19" s="3">
        <f>H19*(1+'Assumptions and Data'!$B$24)</f>
        <v>137.84228011791365</v>
      </c>
      <c r="J19" s="3">
        <f>I19*(1+'Assumptions and Data'!$B$24)</f>
        <v>140.59912572027193</v>
      </c>
      <c r="K19" s="3">
        <f>J19*(1+'Assumptions and Data'!$B$24)</f>
        <v>143.41110823467736</v>
      </c>
      <c r="L19" s="3">
        <f>K19*(1+'Assumptions and Data'!$B$24)</f>
        <v>146.27933039937091</v>
      </c>
      <c r="M19" s="11">
        <f>L19*(1+'Assumptions and Data'!$B$24)</f>
        <v>149.20491700735832</v>
      </c>
    </row>
    <row r="20" spans="1:13" x14ac:dyDescent="0.3">
      <c r="A20" s="9" t="s">
        <v>29</v>
      </c>
      <c r="B20" s="3">
        <f>'Assumptions and Data'!B25</f>
        <v>70</v>
      </c>
      <c r="C20" s="3">
        <f>B20*(1+'Assumptions and Data'!$B$26)</f>
        <v>72.8</v>
      </c>
      <c r="D20" s="3">
        <f>C20*(1+'Assumptions and Data'!$B$26)</f>
        <v>75.712000000000003</v>
      </c>
      <c r="E20" s="3">
        <f>D20*(1+'Assumptions and Data'!$B$26)</f>
        <v>78.740480000000005</v>
      </c>
      <c r="F20" s="3">
        <f>E20*(1+'Assumptions and Data'!$B$26)</f>
        <v>81.890099200000009</v>
      </c>
      <c r="G20" s="3">
        <f>F20*(1+'Assumptions and Data'!$B$26)</f>
        <v>85.165703168000007</v>
      </c>
      <c r="H20" s="3">
        <f>G20*(1+'Assumptions and Data'!$B$26)</f>
        <v>88.572331294720016</v>
      </c>
      <c r="I20" s="3">
        <f>H20*(1+'Assumptions and Data'!$B$26)</f>
        <v>92.115224546508813</v>
      </c>
      <c r="J20" s="3">
        <f>I20*(1+'Assumptions and Data'!$B$26)</f>
        <v>95.799833528369163</v>
      </c>
      <c r="K20" s="3">
        <f>J20*(1+'Assumptions and Data'!$B$26)</f>
        <v>99.631826869503939</v>
      </c>
      <c r="L20" s="3">
        <f>K20*(1+'Assumptions and Data'!$B$26)</f>
        <v>103.61709994428411</v>
      </c>
      <c r="M20" s="11">
        <f>L20*(1+'Assumptions and Data'!$B$26)</f>
        <v>107.76178394205547</v>
      </c>
    </row>
    <row r="21" spans="1:13" x14ac:dyDescent="0.3">
      <c r="A21" s="9" t="s">
        <v>24</v>
      </c>
      <c r="B21" s="3">
        <f>B18-B19-B20</f>
        <v>-37940</v>
      </c>
      <c r="C21" s="3">
        <f t="shared" ref="C21:M21" si="5">C18-C19-C20</f>
        <v>-38038.850000000006</v>
      </c>
      <c r="D21" s="3">
        <f t="shared" si="5"/>
        <v>-39422.627201249998</v>
      </c>
      <c r="E21" s="3">
        <f t="shared" si="5"/>
        <v>-39531.582786299688</v>
      </c>
      <c r="F21" s="3">
        <f t="shared" si="5"/>
        <v>-39645.980029734332</v>
      </c>
      <c r="G21" s="3">
        <f t="shared" si="5"/>
        <v>-41097.294855338339</v>
      </c>
      <c r="H21" s="3">
        <f t="shared" si="5"/>
        <v>-41223.416418237182</v>
      </c>
      <c r="I21" s="3">
        <f t="shared" si="5"/>
        <v>-41355.847713119525</v>
      </c>
      <c r="J21" s="3">
        <f t="shared" si="5"/>
        <v>-42879.354209689525</v>
      </c>
      <c r="K21" s="3">
        <f t="shared" si="5"/>
        <v>-43025.372516549287</v>
      </c>
      <c r="L21" s="3">
        <f t="shared" si="5"/>
        <v>-43178.699074764561</v>
      </c>
      <c r="M21" s="11">
        <f t="shared" si="5"/>
        <v>-44779.52480242055</v>
      </c>
    </row>
    <row r="22" spans="1:13" x14ac:dyDescent="0.3">
      <c r="A22" s="9" t="s">
        <v>27</v>
      </c>
      <c r="B22" s="3">
        <f>'Assumptions and Data'!$B$27</f>
        <v>100</v>
      </c>
      <c r="C22" s="3">
        <f>'Assumptions and Data'!$B$27</f>
        <v>100</v>
      </c>
      <c r="D22" s="3">
        <f>'Assumptions and Data'!$B$27</f>
        <v>100</v>
      </c>
      <c r="E22" s="3">
        <f>'Assumptions and Data'!$B$27</f>
        <v>100</v>
      </c>
      <c r="F22" s="3">
        <f>'Assumptions and Data'!$B$27</f>
        <v>100</v>
      </c>
      <c r="G22" s="3">
        <f>'Assumptions and Data'!$B$27</f>
        <v>100</v>
      </c>
      <c r="H22" s="3">
        <f>'Assumptions and Data'!$B$27</f>
        <v>100</v>
      </c>
      <c r="I22" s="3">
        <f>'Assumptions and Data'!$B$27</f>
        <v>100</v>
      </c>
      <c r="J22" s="3">
        <f>'Assumptions and Data'!$B$27</f>
        <v>100</v>
      </c>
      <c r="K22" s="3">
        <f>'Assumptions and Data'!$B$27</f>
        <v>100</v>
      </c>
      <c r="L22" s="3">
        <f>'Assumptions and Data'!$B$27</f>
        <v>100</v>
      </c>
      <c r="M22" s="11">
        <f>'Assumptions and Data'!$B$27</f>
        <v>100</v>
      </c>
    </row>
    <row r="23" spans="1:13" x14ac:dyDescent="0.3">
      <c r="A23" s="9" t="s">
        <v>25</v>
      </c>
      <c r="B23" s="3">
        <f>B21-B22</f>
        <v>-38040</v>
      </c>
      <c r="C23" s="3">
        <f t="shared" ref="C23:M23" si="6">C21-C22</f>
        <v>-38138.850000000006</v>
      </c>
      <c r="D23" s="3">
        <f t="shared" si="6"/>
        <v>-39522.627201249998</v>
      </c>
      <c r="E23" s="3">
        <f t="shared" si="6"/>
        <v>-39631.582786299688</v>
      </c>
      <c r="F23" s="3">
        <f t="shared" si="6"/>
        <v>-39745.980029734332</v>
      </c>
      <c r="G23" s="3">
        <f t="shared" si="6"/>
        <v>-41197.294855338339</v>
      </c>
      <c r="H23" s="3">
        <f t="shared" si="6"/>
        <v>-41323.416418237182</v>
      </c>
      <c r="I23" s="3">
        <f t="shared" si="6"/>
        <v>-41455.847713119525</v>
      </c>
      <c r="J23" s="3">
        <f t="shared" si="6"/>
        <v>-42979.354209689525</v>
      </c>
      <c r="K23" s="3">
        <f t="shared" si="6"/>
        <v>-43125.372516549287</v>
      </c>
      <c r="L23" s="3">
        <f t="shared" si="6"/>
        <v>-43278.699074764561</v>
      </c>
      <c r="M23" s="11">
        <f t="shared" si="6"/>
        <v>-44879.52480242055</v>
      </c>
    </row>
    <row r="24" spans="1:13" x14ac:dyDescent="0.3">
      <c r="A24" s="9" t="s">
        <v>26</v>
      </c>
      <c r="B24" s="3">
        <f>IF(B21&gt;0,B21*'Assumptions and Data'!$B$28,0)</f>
        <v>0</v>
      </c>
      <c r="C24" s="3">
        <f>IF(C21&gt;0,C21*'Assumptions and Data'!$B$28,0)</f>
        <v>0</v>
      </c>
      <c r="D24" s="3">
        <f>IF(D21&gt;0,D21*'Assumptions and Data'!$B$28,0)</f>
        <v>0</v>
      </c>
      <c r="E24" s="3">
        <f>IF(E21&gt;0,E21*'Assumptions and Data'!$B$28,0)</f>
        <v>0</v>
      </c>
      <c r="F24" s="3">
        <f>IF(F21&gt;0,F21*'Assumptions and Data'!$B$28,0)</f>
        <v>0</v>
      </c>
      <c r="G24" s="3">
        <f>IF(G21&gt;0,G21*'Assumptions and Data'!$B$28,0)</f>
        <v>0</v>
      </c>
      <c r="H24" s="3">
        <f>IF(H21&gt;0,H21*'Assumptions and Data'!$B$28,0)</f>
        <v>0</v>
      </c>
      <c r="I24" s="3">
        <f>IF(I21&gt;0,I21*'Assumptions and Data'!$B$28,0)</f>
        <v>0</v>
      </c>
      <c r="J24" s="3">
        <f>IF(J21&gt;0,J21*'Assumptions and Data'!$B$28,0)</f>
        <v>0</v>
      </c>
      <c r="K24" s="3">
        <f>IF(K21&gt;0,K21*'Assumptions and Data'!$B$28,0)</f>
        <v>0</v>
      </c>
      <c r="L24" s="3">
        <f>IF(L21&gt;0,L21*'Assumptions and Data'!$B$28,0)</f>
        <v>0</v>
      </c>
      <c r="M24" s="11">
        <f>IF(M21&gt;0,M21*'Assumptions and Data'!$B$28,0)</f>
        <v>0</v>
      </c>
    </row>
    <row r="25" spans="1:13" s="4" customFormat="1" x14ac:dyDescent="0.3">
      <c r="A25" s="14" t="s">
        <v>22</v>
      </c>
      <c r="B25" s="15">
        <f>B23-B24</f>
        <v>-38040</v>
      </c>
      <c r="C25" s="15">
        <f t="shared" ref="C25:M25" si="7">C23-C24</f>
        <v>-38138.850000000006</v>
      </c>
      <c r="D25" s="15">
        <f t="shared" si="7"/>
        <v>-39522.627201249998</v>
      </c>
      <c r="E25" s="15">
        <f t="shared" si="7"/>
        <v>-39631.582786299688</v>
      </c>
      <c r="F25" s="15">
        <f t="shared" si="7"/>
        <v>-39745.980029734332</v>
      </c>
      <c r="G25" s="15">
        <f t="shared" si="7"/>
        <v>-41197.294855338339</v>
      </c>
      <c r="H25" s="15">
        <f t="shared" si="7"/>
        <v>-41323.416418237182</v>
      </c>
      <c r="I25" s="15">
        <f t="shared" si="7"/>
        <v>-41455.847713119525</v>
      </c>
      <c r="J25" s="15">
        <f t="shared" si="7"/>
        <v>-42979.354209689525</v>
      </c>
      <c r="K25" s="15">
        <f t="shared" si="7"/>
        <v>-43125.372516549287</v>
      </c>
      <c r="L25" s="15">
        <f t="shared" si="7"/>
        <v>-43278.699074764561</v>
      </c>
      <c r="M25" s="16">
        <f t="shared" si="7"/>
        <v>-44879.52480242055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0BA3-99DD-4E0E-BE81-314AF4F4DF1C}">
  <dimension ref="A3:M11"/>
  <sheetViews>
    <sheetView workbookViewId="0">
      <selection activeCell="L30" sqref="L30"/>
    </sheetView>
  </sheetViews>
  <sheetFormatPr defaultRowHeight="14.4" x14ac:dyDescent="0.3"/>
  <cols>
    <col min="1" max="1" width="12.5546875" bestFit="1" customWidth="1"/>
    <col min="2" max="2" width="8.6640625" bestFit="1" customWidth="1"/>
    <col min="3" max="3" width="10.6640625" bestFit="1" customWidth="1"/>
    <col min="4" max="13" width="12.6640625" bestFit="1" customWidth="1"/>
  </cols>
  <sheetData>
    <row r="3" spans="1:13" x14ac:dyDescent="0.3">
      <c r="A3" s="17" t="s">
        <v>62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</row>
    <row r="4" spans="1:13" x14ac:dyDescent="0.3">
      <c r="A4" s="18" t="s">
        <v>19</v>
      </c>
      <c r="B4">
        <v>5250</v>
      </c>
      <c r="C4">
        <v>5361.1500000000005</v>
      </c>
      <c r="D4">
        <v>5475.9547012499997</v>
      </c>
      <c r="E4">
        <v>5594.5631587996868</v>
      </c>
      <c r="F4">
        <v>5717.1309647718317</v>
      </c>
      <c r="G4">
        <v>5843.8205417191484</v>
      </c>
      <c r="H4">
        <v>5974.8014492489892</v>
      </c>
      <c r="I4">
        <v>6110.250704517679</v>
      </c>
      <c r="J4">
        <v>6250.3531172236662</v>
      </c>
      <c r="K4">
        <v>6395.3016397571764</v>
      </c>
      <c r="L4">
        <v>6545.2977331939792</v>
      </c>
      <c r="M4">
        <v>6700.5517498520876</v>
      </c>
    </row>
    <row r="5" spans="1:13" x14ac:dyDescent="0.3">
      <c r="A5" s="18" t="s">
        <v>21</v>
      </c>
      <c r="B5">
        <v>-37750</v>
      </c>
      <c r="C5">
        <v>-37843.65</v>
      </c>
      <c r="D5">
        <v>-39222.06720125</v>
      </c>
      <c r="E5">
        <v>-39325.497346299686</v>
      </c>
      <c r="F5">
        <v>-39434.198071334336</v>
      </c>
      <c r="G5">
        <v>-40879.639455786339</v>
      </c>
      <c r="H5">
        <v>-40999.704596630778</v>
      </c>
      <c r="I5">
        <v>-41125.890208455108</v>
      </c>
      <c r="J5">
        <v>-42642.955250440886</v>
      </c>
      <c r="K5">
        <v>-42782.329581445105</v>
      </c>
      <c r="L5">
        <v>-42928.80264442091</v>
      </c>
      <c r="M5">
        <v>-44522.558101471135</v>
      </c>
    </row>
    <row r="6" spans="1:13" x14ac:dyDescent="0.3">
      <c r="A6" s="18" t="s">
        <v>33</v>
      </c>
      <c r="B6">
        <v>40000</v>
      </c>
      <c r="C6">
        <v>40207.5</v>
      </c>
      <c r="D6">
        <v>41702.862500000003</v>
      </c>
      <c r="E6">
        <v>41926.386687500002</v>
      </c>
      <c r="F6">
        <v>42158.383181562502</v>
      </c>
      <c r="G6">
        <v>43730.374471317191</v>
      </c>
      <c r="H6">
        <v>43980.29537134929</v>
      </c>
      <c r="I6">
        <v>44239.693494623956</v>
      </c>
      <c r="J6">
        <v>45893.37774362434</v>
      </c>
      <c r="K6">
        <v>46172.826820407266</v>
      </c>
      <c r="L6">
        <v>46462.877756307847</v>
      </c>
      <c r="M6">
        <v>48203.760382052395</v>
      </c>
    </row>
    <row r="7" spans="1:13" x14ac:dyDescent="0.3">
      <c r="A7" s="18" t="s">
        <v>49</v>
      </c>
      <c r="B7">
        <v>0.3</v>
      </c>
      <c r="C7">
        <v>0.30599999999999994</v>
      </c>
      <c r="D7">
        <v>0.31178500000000003</v>
      </c>
      <c r="E7">
        <v>0.3173576250000002</v>
      </c>
      <c r="F7">
        <v>0.32272042487500013</v>
      </c>
      <c r="G7">
        <v>0.32787587551312514</v>
      </c>
      <c r="H7">
        <v>0.33282637992577202</v>
      </c>
      <c r="I7">
        <v>0.33757426933025714</v>
      </c>
      <c r="J7">
        <v>0.34212180420543264</v>
      </c>
      <c r="K7">
        <v>0.34647117532072885</v>
      </c>
      <c r="L7">
        <v>0.35062450473907097</v>
      </c>
      <c r="M7">
        <v>0.35458384679410471</v>
      </c>
    </row>
    <row r="8" spans="1:13" x14ac:dyDescent="0.3">
      <c r="A8" s="18" t="s">
        <v>20</v>
      </c>
      <c r="B8">
        <v>2250</v>
      </c>
      <c r="C8">
        <v>2363.8499999999995</v>
      </c>
      <c r="D8">
        <v>2480.7952987500003</v>
      </c>
      <c r="E8">
        <v>2600.8893412003144</v>
      </c>
      <c r="F8">
        <v>2724.1851102281689</v>
      </c>
      <c r="G8">
        <v>2850.7350155308513</v>
      </c>
      <c r="H8">
        <v>2980.590774718512</v>
      </c>
      <c r="I8">
        <v>3113.8032861688462</v>
      </c>
      <c r="J8">
        <v>3250.4224931834551</v>
      </c>
      <c r="K8">
        <v>3390.4972389621589</v>
      </c>
      <c r="L8">
        <v>3534.0751118869366</v>
      </c>
      <c r="M8">
        <v>3681.2022805812558</v>
      </c>
    </row>
    <row r="9" spans="1:13" x14ac:dyDescent="0.3">
      <c r="A9" s="18" t="s">
        <v>22</v>
      </c>
      <c r="B9">
        <v>-38040</v>
      </c>
      <c r="C9">
        <v>-38138.850000000006</v>
      </c>
      <c r="D9">
        <v>-39522.627201249998</v>
      </c>
      <c r="E9">
        <v>-39631.582786299688</v>
      </c>
      <c r="F9">
        <v>-39745.980029734332</v>
      </c>
      <c r="G9">
        <v>-41197.294855338339</v>
      </c>
      <c r="H9">
        <v>-41323.416418237182</v>
      </c>
      <c r="I9">
        <v>-41455.847713119525</v>
      </c>
      <c r="J9">
        <v>-42979.354209689525</v>
      </c>
      <c r="K9">
        <v>-43125.372516549287</v>
      </c>
      <c r="L9">
        <v>-43278.699074764561</v>
      </c>
      <c r="M9">
        <v>-44879.52480242055</v>
      </c>
    </row>
    <row r="10" spans="1:13" x14ac:dyDescent="0.3">
      <c r="A10" s="18" t="s">
        <v>23</v>
      </c>
      <c r="B10">
        <v>7500</v>
      </c>
      <c r="C10">
        <v>7725</v>
      </c>
      <c r="D10">
        <v>7956.75</v>
      </c>
      <c r="E10">
        <v>8195.4525000000012</v>
      </c>
      <c r="F10">
        <v>8441.3160750000006</v>
      </c>
      <c r="G10">
        <v>8694.5555572499998</v>
      </c>
      <c r="H10">
        <v>8955.3922239675012</v>
      </c>
      <c r="I10">
        <v>9224.0539906865251</v>
      </c>
      <c r="J10">
        <v>9500.7756104071213</v>
      </c>
      <c r="K10">
        <v>9785.7988787193353</v>
      </c>
      <c r="L10">
        <v>10079.372845080916</v>
      </c>
      <c r="M10">
        <v>10381.754030433343</v>
      </c>
    </row>
    <row r="11" spans="1:13" x14ac:dyDescent="0.3">
      <c r="A11" s="18" t="s">
        <v>63</v>
      </c>
      <c r="B11">
        <v>-20789.7</v>
      </c>
      <c r="C11">
        <v>-20324.694000000007</v>
      </c>
      <c r="D11">
        <v>-21128.020117499997</v>
      </c>
      <c r="E11">
        <v>-20639.471087474369</v>
      </c>
      <c r="F11">
        <v>-20138.840049081293</v>
      </c>
      <c r="G11">
        <v>-20957.120849431973</v>
      </c>
      <c r="H11">
        <v>-20431.708369203741</v>
      </c>
      <c r="I11">
        <v>-19893.598871308299</v>
      </c>
      <c r="J11">
        <v>-20727.038373887619</v>
      </c>
      <c r="K11">
        <v>-20162.931048973132</v>
      </c>
      <c r="L11">
        <v>-19585.527648211057</v>
      </c>
      <c r="M11">
        <v>-20434.45987712581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 and Data</vt:lpstr>
      <vt:lpstr>Monthly P&amp;L Calculation</vt:lpstr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Nithish</dc:creator>
  <cp:lastModifiedBy>Akash Nithish</cp:lastModifiedBy>
  <dcterms:created xsi:type="dcterms:W3CDTF">2024-06-21T16:00:44Z</dcterms:created>
  <dcterms:modified xsi:type="dcterms:W3CDTF">2024-06-26T04:17:49Z</dcterms:modified>
</cp:coreProperties>
</file>