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kash Nithish\SkilloVilla\BA - Capstone Project\"/>
    </mc:Choice>
  </mc:AlternateContent>
  <xr:revisionPtr revIDLastSave="0" documentId="13_ncr:1_{48E751D9-9276-4AD2-8100-4BF5E0B644F7}" xr6:coauthVersionLast="47" xr6:coauthVersionMax="47" xr10:uidLastSave="{00000000-0000-0000-0000-000000000000}"/>
  <bookViews>
    <workbookView xWindow="-108" yWindow="-108" windowWidth="23256" windowHeight="12456" xr2:uid="{380684A4-C9E8-43A4-B4D8-8C00D8ED9418}"/>
  </bookViews>
  <sheets>
    <sheet name="Assumptions and Data" sheetId="1" r:id="rId1"/>
    <sheet name="Monthly P&amp;L Calculation" sheetId="2" r:id="rId2"/>
    <sheet name="Pivot chart" sheetId="3" r:id="rId3"/>
  </sheets>
  <calcPr calcId="191029"/>
  <pivotCaches>
    <pivotCache cacheId="1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2" l="1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B17" i="2"/>
  <c r="C21" i="2"/>
  <c r="D21" i="2"/>
  <c r="E21" i="2"/>
  <c r="F21" i="2"/>
  <c r="G21" i="2"/>
  <c r="H21" i="2"/>
  <c r="I21" i="2"/>
  <c r="J21" i="2"/>
  <c r="K21" i="2"/>
  <c r="L21" i="2"/>
  <c r="M21" i="2"/>
  <c r="B21" i="2"/>
  <c r="C9" i="2"/>
  <c r="D9" i="2"/>
  <c r="E9" i="2"/>
  <c r="F9" i="2"/>
  <c r="G9" i="2"/>
  <c r="H9" i="2"/>
  <c r="I9" i="2"/>
  <c r="J9" i="2"/>
  <c r="K9" i="2"/>
  <c r="L9" i="2"/>
  <c r="M9" i="2"/>
  <c r="B9" i="2"/>
  <c r="B16" i="2"/>
  <c r="C15" i="2"/>
  <c r="D15" i="2" s="1"/>
  <c r="E15" i="2" s="1"/>
  <c r="F15" i="2" s="1"/>
  <c r="G15" i="2" s="1"/>
  <c r="H15" i="2" s="1"/>
  <c r="I15" i="2" s="1"/>
  <c r="J15" i="2" s="1"/>
  <c r="K15" i="2" s="1"/>
  <c r="L15" i="2" s="1"/>
  <c r="M15" i="2" s="1"/>
  <c r="C12" i="2"/>
  <c r="D12" i="2"/>
  <c r="E12" i="2"/>
  <c r="F12" i="2"/>
  <c r="G12" i="2"/>
  <c r="H12" i="2"/>
  <c r="I12" i="2"/>
  <c r="J12" i="2"/>
  <c r="K12" i="2"/>
  <c r="L12" i="2"/>
  <c r="M12" i="2"/>
  <c r="C13" i="2"/>
  <c r="D13" i="2"/>
  <c r="E13" i="2"/>
  <c r="F13" i="2"/>
  <c r="G13" i="2"/>
  <c r="H13" i="2"/>
  <c r="I13" i="2"/>
  <c r="J13" i="2"/>
  <c r="K13" i="2"/>
  <c r="L13" i="2"/>
  <c r="M13" i="2"/>
  <c r="B13" i="2"/>
  <c r="B12" i="2"/>
  <c r="B2" i="2"/>
  <c r="C2" i="2" s="1"/>
  <c r="B19" i="2"/>
  <c r="C19" i="2" s="1"/>
  <c r="D19" i="2" s="1"/>
  <c r="E19" i="2" s="1"/>
  <c r="F19" i="2" s="1"/>
  <c r="G19" i="2" s="1"/>
  <c r="H19" i="2" s="1"/>
  <c r="I19" i="2" s="1"/>
  <c r="J19" i="2" s="1"/>
  <c r="K19" i="2" s="1"/>
  <c r="L19" i="2" s="1"/>
  <c r="M19" i="2" s="1"/>
  <c r="B18" i="2"/>
  <c r="C18" i="2" s="1"/>
  <c r="D18" i="2" s="1"/>
  <c r="E18" i="2" s="1"/>
  <c r="F18" i="2" s="1"/>
  <c r="G18" i="2" s="1"/>
  <c r="H18" i="2" s="1"/>
  <c r="I18" i="2" s="1"/>
  <c r="J18" i="2" s="1"/>
  <c r="K18" i="2" s="1"/>
  <c r="L18" i="2" s="1"/>
  <c r="M18" i="2" s="1"/>
  <c r="B11" i="2"/>
  <c r="C11" i="2" s="1"/>
  <c r="D11" i="2" s="1"/>
  <c r="E11" i="2" s="1"/>
  <c r="F11" i="2" s="1"/>
  <c r="G11" i="2" s="1"/>
  <c r="H11" i="2" s="1"/>
  <c r="I11" i="2" s="1"/>
  <c r="J11" i="2" s="1"/>
  <c r="K11" i="2" s="1"/>
  <c r="L11" i="2" s="1"/>
  <c r="M11" i="2" s="1"/>
  <c r="B7" i="2"/>
  <c r="C7" i="2" s="1"/>
  <c r="D7" i="2" s="1"/>
  <c r="E7" i="2" s="1"/>
  <c r="F7" i="2" s="1"/>
  <c r="G7" i="2" s="1"/>
  <c r="H7" i="2" s="1"/>
  <c r="I7" i="2" s="1"/>
  <c r="J7" i="2" s="1"/>
  <c r="K7" i="2" s="1"/>
  <c r="L7" i="2" s="1"/>
  <c r="M7" i="2" s="1"/>
  <c r="B6" i="2"/>
  <c r="C6" i="2" s="1"/>
  <c r="D6" i="2" s="1"/>
  <c r="E6" i="2" s="1"/>
  <c r="F6" i="2" s="1"/>
  <c r="G6" i="2" s="1"/>
  <c r="H6" i="2" s="1"/>
  <c r="I6" i="2" s="1"/>
  <c r="J6" i="2" s="1"/>
  <c r="K6" i="2" s="1"/>
  <c r="L6" i="2" s="1"/>
  <c r="M6" i="2" s="1"/>
  <c r="B5" i="2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D16" i="2" l="1"/>
  <c r="C16" i="2"/>
  <c r="D10" i="2"/>
  <c r="D17" i="2" s="1"/>
  <c r="C10" i="2"/>
  <c r="C17" i="2" s="1"/>
  <c r="D2" i="2"/>
  <c r="C3" i="2"/>
  <c r="C4" i="2"/>
  <c r="B3" i="2"/>
  <c r="B4" i="2"/>
  <c r="B10" i="2"/>
  <c r="B8" i="2" l="1"/>
  <c r="B20" i="2" s="1"/>
  <c r="E16" i="2"/>
  <c r="E10" i="2" s="1"/>
  <c r="E17" i="2" s="1"/>
  <c r="C8" i="2"/>
  <c r="C20" i="2" s="1"/>
  <c r="D4" i="2"/>
  <c r="D3" i="2"/>
  <c r="D8" i="2" s="1"/>
  <c r="D20" i="2" s="1"/>
  <c r="E2" i="2"/>
  <c r="B23" i="2"/>
  <c r="B22" i="2"/>
  <c r="D22" i="2" l="1"/>
  <c r="D23" i="2"/>
  <c r="C22" i="2"/>
  <c r="C23" i="2"/>
  <c r="F16" i="2"/>
  <c r="F10" i="2" s="1"/>
  <c r="F17" i="2" s="1"/>
  <c r="E4" i="2"/>
  <c r="E3" i="2"/>
  <c r="E8" i="2" s="1"/>
  <c r="E20" i="2" s="1"/>
  <c r="F2" i="2"/>
  <c r="B24" i="2"/>
  <c r="E23" i="2" l="1"/>
  <c r="E22" i="2"/>
  <c r="E24" i="2" s="1"/>
  <c r="G16" i="2"/>
  <c r="G10" i="2" s="1"/>
  <c r="G17" i="2" s="1"/>
  <c r="C24" i="2"/>
  <c r="D24" i="2"/>
  <c r="G2" i="2"/>
  <c r="F4" i="2"/>
  <c r="F3" i="2"/>
  <c r="F8" i="2" s="1"/>
  <c r="F20" i="2" s="1"/>
  <c r="F23" i="2" l="1"/>
  <c r="F22" i="2"/>
  <c r="F24" i="2" s="1"/>
  <c r="H16" i="2"/>
  <c r="H10" i="2" s="1"/>
  <c r="H17" i="2" s="1"/>
  <c r="G4" i="2"/>
  <c r="G3" i="2"/>
  <c r="G8" i="2" s="1"/>
  <c r="G20" i="2" s="1"/>
  <c r="H2" i="2"/>
  <c r="G23" i="2" l="1"/>
  <c r="G22" i="2"/>
  <c r="G24" i="2" s="1"/>
  <c r="I16" i="2"/>
  <c r="I10" i="2" s="1"/>
  <c r="I17" i="2" s="1"/>
  <c r="H4" i="2"/>
  <c r="H3" i="2"/>
  <c r="H8" i="2" s="1"/>
  <c r="H20" i="2" s="1"/>
  <c r="I2" i="2"/>
  <c r="H23" i="2" l="1"/>
  <c r="H22" i="2"/>
  <c r="H24" i="2" s="1"/>
  <c r="J16" i="2"/>
  <c r="J10" i="2" s="1"/>
  <c r="J17" i="2" s="1"/>
  <c r="I4" i="2"/>
  <c r="I3" i="2"/>
  <c r="J2" i="2"/>
  <c r="I8" i="2" l="1"/>
  <c r="I20" i="2" s="1"/>
  <c r="I23" i="2"/>
  <c r="I22" i="2"/>
  <c r="I24" i="2" s="1"/>
  <c r="K16" i="2"/>
  <c r="K10" i="2" s="1"/>
  <c r="K17" i="2" s="1"/>
  <c r="J4" i="2"/>
  <c r="J3" i="2"/>
  <c r="J8" i="2" s="1"/>
  <c r="J20" i="2" s="1"/>
  <c r="K2" i="2"/>
  <c r="J23" i="2" l="1"/>
  <c r="J22" i="2"/>
  <c r="J24" i="2" s="1"/>
  <c r="M16" i="2"/>
  <c r="M10" i="2" s="1"/>
  <c r="M17" i="2" s="1"/>
  <c r="L16" i="2"/>
  <c r="L10" i="2" s="1"/>
  <c r="L17" i="2" s="1"/>
  <c r="K4" i="2"/>
  <c r="K3" i="2"/>
  <c r="K8" i="2" s="1"/>
  <c r="K20" i="2" s="1"/>
  <c r="L2" i="2"/>
  <c r="K23" i="2" l="1"/>
  <c r="K22" i="2"/>
  <c r="K24" i="2" s="1"/>
  <c r="L4" i="2"/>
  <c r="L3" i="2"/>
  <c r="L8" i="2" s="1"/>
  <c r="L20" i="2" s="1"/>
  <c r="M2" i="2"/>
  <c r="L23" i="2" l="1"/>
  <c r="L22" i="2"/>
  <c r="L24" i="2" s="1"/>
  <c r="M4" i="2"/>
  <c r="M3" i="2"/>
  <c r="M8" i="2" s="1"/>
  <c r="M20" i="2" s="1"/>
  <c r="M23" i="2" l="1"/>
  <c r="M22" i="2"/>
  <c r="M24" i="2" s="1"/>
</calcChain>
</file>

<file path=xl/sharedStrings.xml><?xml version="1.0" encoding="utf-8"?>
<sst xmlns="http://schemas.openxmlformats.org/spreadsheetml/2006/main" count="81" uniqueCount="71">
  <si>
    <t>Description</t>
  </si>
  <si>
    <t>Values</t>
  </si>
  <si>
    <t>Initial Units Sold</t>
  </si>
  <si>
    <t>Average Selling Price per Unit</t>
  </si>
  <si>
    <t>Monthly Growth Rate in Units Sold</t>
  </si>
  <si>
    <t>Initial Material Cost per Unit</t>
  </si>
  <si>
    <t>Monthly Decrease in Material Cost per Unit</t>
  </si>
  <si>
    <t>Initial Labor Cost per Unit</t>
  </si>
  <si>
    <t>Monthly Increase in Labor Cost per Unit</t>
  </si>
  <si>
    <t>Initial Overhead Cost per Unit</t>
  </si>
  <si>
    <t>Monthly Decrease in Overhead Cost per Unit</t>
  </si>
  <si>
    <t>Initial Marketing Expense</t>
  </si>
  <si>
    <t>Monthly Increase in Marketing Expense</t>
  </si>
  <si>
    <t>Rent</t>
  </si>
  <si>
    <t>Utilities</t>
  </si>
  <si>
    <t>Initial Number of Employees</t>
  </si>
  <si>
    <t>Salary Increase Interval</t>
  </si>
  <si>
    <t>Salary Increase Rate</t>
  </si>
  <si>
    <t>Initial Depreciation</t>
  </si>
  <si>
    <t>Monthly Depreciation Increase Rate</t>
  </si>
  <si>
    <t>Initial Amortization</t>
  </si>
  <si>
    <t>Monthly Amortization Increase Rate</t>
  </si>
  <si>
    <t>Interest Expense</t>
  </si>
  <si>
    <t>Tax Rate</t>
  </si>
  <si>
    <t>COGS</t>
  </si>
  <si>
    <t>Gross Profit</t>
  </si>
  <si>
    <t>EBITDA</t>
  </si>
  <si>
    <t>Net Profit</t>
  </si>
  <si>
    <t>Revenue</t>
  </si>
  <si>
    <t>Initial Salary per Employee</t>
  </si>
  <si>
    <t>EBIT</t>
  </si>
  <si>
    <t>EBT</t>
  </si>
  <si>
    <t>Tax</t>
  </si>
  <si>
    <t>Interest</t>
  </si>
  <si>
    <t>Depreciation</t>
  </si>
  <si>
    <t>Amortization</t>
  </si>
  <si>
    <t>Marketing Expense</t>
  </si>
  <si>
    <t>Salaries</t>
  </si>
  <si>
    <t>Material Cost</t>
  </si>
  <si>
    <t>Labor Cost</t>
  </si>
  <si>
    <t>Overhead Cost</t>
  </si>
  <si>
    <t>Units sold</t>
  </si>
  <si>
    <t>Employees</t>
  </si>
  <si>
    <t>Average Salary</t>
  </si>
  <si>
    <t>Fixed Cost</t>
  </si>
  <si>
    <t>Gross Margin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</si>
  <si>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</si>
  <si>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</si>
  <si>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</si>
  <si>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</si>
  <si>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</si>
  <si>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</si>
  <si>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</si>
  <si>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</si>
  <si>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</si>
  <si>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</si>
  <si>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</si>
  <si>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</si>
  <si>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Row Labels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</si>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</sst>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164" fontId="0" fillId="0" borderId="4" xfId="0" applyNumberFormat="1" applyBorder="1" applyAlignment="1">
      <alignment vertical="center" wrapText="1"/>
    </xf>
    <xf numFmtId="9" fontId="0" fillId="0" borderId="6" xfId="0" applyNumberForma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2" fillId="0" borderId="0" xfId="0" applyFont="1"/>
    <xf numFmtId="0" fontId="2" fillId="0" borderId="7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3" formatCode="0%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[InnovateTech.xlsx]Pivot chart!PivotTable1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chart'!$B$3</c:f>
              <c:strCache>
                <c:ptCount val="1"/>
                <c:pt idx="0">
                  <c:v>Month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chart'!$A$4:$A$10</c:f>
              <c:strCache>
                <c:ptCount val="7"/>
                <c:pt idx="0">
                  <c:v>COGS</c:v>
                </c:pt>
                <c:pt idx="1">
                  <c:v>EBITDA</c:v>
                </c:pt>
                <c:pt idx="2">
                  <c:v>Fixed Cost</c:v>
                </c:pt>
                <c:pt idx="3">
                  <c:v>Gross Margin</c:v>
                </c:pt>
                <c:pt idx="4">
                  <c:v>Gross Profit</c:v>
                </c:pt>
                <c:pt idx="5">
                  <c:v>Net Profit</c:v>
                </c:pt>
                <c:pt idx="6">
                  <c:v>Revenue</c:v>
                </c:pt>
              </c:strCache>
            </c:strRef>
          </c:cat>
          <c:val>
            <c:numRef>
              <c:f>'Pivot chart'!$B$4:$B$10</c:f>
              <c:numCache>
                <c:formatCode>General</c:formatCode>
                <c:ptCount val="7"/>
                <c:pt idx="0">
                  <c:v>15000</c:v>
                </c:pt>
                <c:pt idx="1">
                  <c:v>-8800</c:v>
                </c:pt>
                <c:pt idx="2">
                  <c:v>18800</c:v>
                </c:pt>
                <c:pt idx="3">
                  <c:v>0.4</c:v>
                </c:pt>
                <c:pt idx="4">
                  <c:v>10000</c:v>
                </c:pt>
                <c:pt idx="5">
                  <c:v>-9090</c:v>
                </c:pt>
                <c:pt idx="6">
                  <c:v>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76-4242-AA25-C5B1DE346D92}"/>
            </c:ext>
          </c:extLst>
        </c:ser>
        <c:ser>
          <c:idx val="1"/>
          <c:order val="1"/>
          <c:tx>
            <c:strRef>
              <c:f>'Pivot chart'!$C$3</c:f>
              <c:strCache>
                <c:ptCount val="1"/>
                <c:pt idx="0">
                  <c:v>Month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chart'!$A$4:$A$10</c:f>
              <c:strCache>
                <c:ptCount val="7"/>
                <c:pt idx="0">
                  <c:v>COGS</c:v>
                </c:pt>
                <c:pt idx="1">
                  <c:v>EBITDA</c:v>
                </c:pt>
                <c:pt idx="2">
                  <c:v>Fixed Cost</c:v>
                </c:pt>
                <c:pt idx="3">
                  <c:v>Gross Margin</c:v>
                </c:pt>
                <c:pt idx="4">
                  <c:v>Gross Profit</c:v>
                </c:pt>
                <c:pt idx="5">
                  <c:v>Net Profit</c:v>
                </c:pt>
                <c:pt idx="6">
                  <c:v>Revenue</c:v>
                </c:pt>
              </c:strCache>
            </c:strRef>
          </c:cat>
          <c:val>
            <c:numRef>
              <c:f>'Pivot chart'!$C$4:$C$10</c:f>
              <c:numCache>
                <c:formatCode>General</c:formatCode>
                <c:ptCount val="7"/>
                <c:pt idx="0">
                  <c:v>15178.875</c:v>
                </c:pt>
                <c:pt idx="1">
                  <c:v>-8538.875</c:v>
                </c:pt>
                <c:pt idx="2">
                  <c:v>18860</c:v>
                </c:pt>
                <c:pt idx="3">
                  <c:v>0.40475</c:v>
                </c:pt>
                <c:pt idx="4">
                  <c:v>10321.125</c:v>
                </c:pt>
                <c:pt idx="5">
                  <c:v>-8834.0749999999989</c:v>
                </c:pt>
                <c:pt idx="6">
                  <c:v>25500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76-4242-AA25-C5B1DE346D92}"/>
            </c:ext>
          </c:extLst>
        </c:ser>
        <c:ser>
          <c:idx val="2"/>
          <c:order val="2"/>
          <c:tx>
            <c:strRef>
              <c:f>'Pivot chart'!$D$3</c:f>
              <c:strCache>
                <c:ptCount val="1"/>
                <c:pt idx="0">
                  <c:v>Month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chart'!$A$4:$A$10</c:f>
              <c:strCache>
                <c:ptCount val="7"/>
                <c:pt idx="0">
                  <c:v>COGS</c:v>
                </c:pt>
                <c:pt idx="1">
                  <c:v>EBITDA</c:v>
                </c:pt>
                <c:pt idx="2">
                  <c:v>Fixed Cost</c:v>
                </c:pt>
                <c:pt idx="3">
                  <c:v>Gross Margin</c:v>
                </c:pt>
                <c:pt idx="4">
                  <c:v>Gross Profit</c:v>
                </c:pt>
                <c:pt idx="5">
                  <c:v>Net Profit</c:v>
                </c:pt>
                <c:pt idx="6">
                  <c:v>Revenue</c:v>
                </c:pt>
              </c:strCache>
            </c:strRef>
          </c:cat>
          <c:val>
            <c:numRef>
              <c:f>'Pivot chart'!$D$4:$D$10</c:f>
              <c:numCache>
                <c:formatCode>General</c:formatCode>
                <c:ptCount val="7"/>
                <c:pt idx="0">
                  <c:v>15361.603537500003</c:v>
                </c:pt>
                <c:pt idx="1">
                  <c:v>-8723.4035374999985</c:v>
                </c:pt>
                <c:pt idx="2">
                  <c:v>19371.8</c:v>
                </c:pt>
                <c:pt idx="3">
                  <c:v>0.40939624999999996</c:v>
                </c:pt>
                <c:pt idx="4">
                  <c:v>10648.396462500001</c:v>
                </c:pt>
                <c:pt idx="5">
                  <c:v>-9023.963537499998</c:v>
                </c:pt>
                <c:pt idx="6">
                  <c:v>26010.000000000004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76-4242-AA25-C5B1DE346D92}"/>
            </c:ext>
          </c:extLst>
        </c:ser>
        <c:ser>
          <c:idx val="3"/>
          <c:order val="3"/>
          <c:tx>
            <c:strRef>
              <c:f>'Pivot chart'!$E$3</c:f>
              <c:strCache>
                <c:ptCount val="1"/>
                <c:pt idx="0">
                  <c:v>Month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chart'!$A$4:$A$10</c:f>
              <c:strCache>
                <c:ptCount val="7"/>
                <c:pt idx="0">
                  <c:v>COGS</c:v>
                </c:pt>
                <c:pt idx="1">
                  <c:v>EBITDA</c:v>
                </c:pt>
                <c:pt idx="2">
                  <c:v>Fixed Cost</c:v>
                </c:pt>
                <c:pt idx="3">
                  <c:v>Gross Margin</c:v>
                </c:pt>
                <c:pt idx="4">
                  <c:v>Gross Profit</c:v>
                </c:pt>
                <c:pt idx="5">
                  <c:v>Net Profit</c:v>
                </c:pt>
                <c:pt idx="6">
                  <c:v>Revenue</c:v>
                </c:pt>
              </c:strCache>
            </c:strRef>
          </c:cat>
          <c:val>
            <c:numRef>
              <c:f>'Pivot chart'!$E$4:$E$10</c:f>
              <c:numCache>
                <c:formatCode>General</c:formatCode>
                <c:ptCount val="7"/>
                <c:pt idx="0">
                  <c:v>15548.292162461252</c:v>
                </c:pt>
                <c:pt idx="1">
                  <c:v>-8453.5461624612526</c:v>
                </c:pt>
                <c:pt idx="2">
                  <c:v>19435.454000000002</c:v>
                </c:pt>
                <c:pt idx="3">
                  <c:v>0.41393988124999997</c:v>
                </c:pt>
                <c:pt idx="4">
                  <c:v>10981.907837538749</c:v>
                </c:pt>
                <c:pt idx="5">
                  <c:v>-8759.6316024612534</c:v>
                </c:pt>
                <c:pt idx="6">
                  <c:v>26530.2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76-4242-AA25-C5B1DE346D92}"/>
            </c:ext>
          </c:extLst>
        </c:ser>
        <c:ser>
          <c:idx val="4"/>
          <c:order val="4"/>
          <c:tx>
            <c:strRef>
              <c:f>'Pivot chart'!$F$3</c:f>
              <c:strCache>
                <c:ptCount val="1"/>
                <c:pt idx="0">
                  <c:v>Month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chart'!$A$4:$A$10</c:f>
              <c:strCache>
                <c:ptCount val="7"/>
                <c:pt idx="0">
                  <c:v>COGS</c:v>
                </c:pt>
                <c:pt idx="1">
                  <c:v>EBITDA</c:v>
                </c:pt>
                <c:pt idx="2">
                  <c:v>Fixed Cost</c:v>
                </c:pt>
                <c:pt idx="3">
                  <c:v>Gross Margin</c:v>
                </c:pt>
                <c:pt idx="4">
                  <c:v>Gross Profit</c:v>
                </c:pt>
                <c:pt idx="5">
                  <c:v>Net Profit</c:v>
                </c:pt>
                <c:pt idx="6">
                  <c:v>Revenue</c:v>
                </c:pt>
              </c:strCache>
            </c:strRef>
          </c:cat>
          <c:val>
            <c:numRef>
              <c:f>'Pivot chart'!$F$4:$F$10</c:f>
              <c:numCache>
                <c:formatCode>General</c:formatCode>
                <c:ptCount val="7"/>
                <c:pt idx="0">
                  <c:v>15739.050571487533</c:v>
                </c:pt>
                <c:pt idx="1">
                  <c:v>-8179.2641914875312</c:v>
                </c:pt>
                <c:pt idx="2">
                  <c:v>19501.017619999999</c:v>
                </c:pt>
                <c:pt idx="3">
                  <c:v>0.41838200478124993</c:v>
                </c:pt>
                <c:pt idx="4">
                  <c:v>11321.753428512468</c:v>
                </c:pt>
                <c:pt idx="5">
                  <c:v>-8491.046149887532</c:v>
                </c:pt>
                <c:pt idx="6">
                  <c:v>27060.804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76-4242-AA25-C5B1DE346D92}"/>
            </c:ext>
          </c:extLst>
        </c:ser>
        <c:ser>
          <c:idx val="5"/>
          <c:order val="5"/>
          <c:tx>
            <c:strRef>
              <c:f>'Pivot chart'!$G$3</c:f>
              <c:strCache>
                <c:ptCount val="1"/>
                <c:pt idx="0">
                  <c:v>Month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chart'!$A$4:$A$10</c:f>
              <c:strCache>
                <c:ptCount val="7"/>
                <c:pt idx="0">
                  <c:v>COGS</c:v>
                </c:pt>
                <c:pt idx="1">
                  <c:v>EBITDA</c:v>
                </c:pt>
                <c:pt idx="2">
                  <c:v>Fixed Cost</c:v>
                </c:pt>
                <c:pt idx="3">
                  <c:v>Gross Margin</c:v>
                </c:pt>
                <c:pt idx="4">
                  <c:v>Gross Profit</c:v>
                </c:pt>
                <c:pt idx="5">
                  <c:v>Net Profit</c:v>
                </c:pt>
                <c:pt idx="6">
                  <c:v>Revenue</c:v>
                </c:pt>
              </c:strCache>
            </c:strRef>
          </c:cat>
          <c:val>
            <c:numRef>
              <c:f>'Pivot chart'!$G$4:$G$10</c:f>
              <c:numCache>
                <c:formatCode>General</c:formatCode>
                <c:ptCount val="7"/>
                <c:pt idx="0">
                  <c:v>15933.991702274474</c:v>
                </c:pt>
                <c:pt idx="1">
                  <c:v>-8364.0197708744781</c:v>
                </c:pt>
                <c:pt idx="2">
                  <c:v>20032.048148600003</c:v>
                </c:pt>
                <c:pt idx="3">
                  <c:v>0.42272371166703121</c:v>
                </c:pt>
                <c:pt idx="4">
                  <c:v>11668.028377725524</c:v>
                </c:pt>
                <c:pt idx="5">
                  <c:v>-8681.6751704264789</c:v>
                </c:pt>
                <c:pt idx="6">
                  <c:v>27602.020079999998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76-4242-AA25-C5B1DE346D92}"/>
            </c:ext>
          </c:extLst>
        </c:ser>
        <c:ser>
          <c:idx val="6"/>
          <c:order val="6"/>
          <c:tx>
            <c:strRef>
              <c:f>'Pivot chart'!$H$3</c:f>
              <c:strCache>
                <c:ptCount val="1"/>
                <c:pt idx="0">
                  <c:v>Month 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chart'!$A$4:$A$10</c:f>
              <c:strCache>
                <c:ptCount val="7"/>
                <c:pt idx="0">
                  <c:v>COGS</c:v>
                </c:pt>
                <c:pt idx="1">
                  <c:v>EBITDA</c:v>
                </c:pt>
                <c:pt idx="2">
                  <c:v>Fixed Cost</c:v>
                </c:pt>
                <c:pt idx="3">
                  <c:v>Gross Margin</c:v>
                </c:pt>
                <c:pt idx="4">
                  <c:v>Gross Profit</c:v>
                </c:pt>
                <c:pt idx="5">
                  <c:v>Net Profit</c:v>
                </c:pt>
                <c:pt idx="6">
                  <c:v>Revenue</c:v>
                </c:pt>
              </c:strCache>
            </c:strRef>
          </c:cat>
          <c:val>
            <c:numRef>
              <c:f>'Pivot chart'!$H$4:$H$10</c:f>
              <c:numCache>
                <c:formatCode>General</c:formatCode>
                <c:ptCount val="7"/>
                <c:pt idx="0">
                  <c:v>16133.231830906123</c:v>
                </c:pt>
                <c:pt idx="1">
                  <c:v>-8080.7759423641255</c:v>
                </c:pt>
                <c:pt idx="2">
                  <c:v>20101.604593058</c:v>
                </c:pt>
                <c:pt idx="3">
                  <c:v>0.42696607327920078</c:v>
                </c:pt>
                <c:pt idx="4">
                  <c:v>12020.828650693875</c:v>
                </c:pt>
                <c:pt idx="5">
                  <c:v>-8404.4877639705246</c:v>
                </c:pt>
                <c:pt idx="6">
                  <c:v>28154.060481599998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76-4242-AA25-C5B1DE346D92}"/>
            </c:ext>
          </c:extLst>
        </c:ser>
        <c:ser>
          <c:idx val="7"/>
          <c:order val="7"/>
          <c:tx>
            <c:strRef>
              <c:f>'Pivot chart'!$I$3</c:f>
              <c:strCache>
                <c:ptCount val="1"/>
                <c:pt idx="0">
                  <c:v>Month 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chart'!$A$4:$A$10</c:f>
              <c:strCache>
                <c:ptCount val="7"/>
                <c:pt idx="0">
                  <c:v>COGS</c:v>
                </c:pt>
                <c:pt idx="1">
                  <c:v>EBITDA</c:v>
                </c:pt>
                <c:pt idx="2">
                  <c:v>Fixed Cost</c:v>
                </c:pt>
                <c:pt idx="3">
                  <c:v>Gross Margin</c:v>
                </c:pt>
                <c:pt idx="4">
                  <c:v>Gross Profit</c:v>
                </c:pt>
                <c:pt idx="5">
                  <c:v>Net Profit</c:v>
                </c:pt>
                <c:pt idx="6">
                  <c:v>Revenue</c:v>
                </c:pt>
              </c:strCache>
            </c:strRef>
          </c:cat>
          <c:val>
            <c:numRef>
              <c:f>'Pivot chart'!$I$4:$I$10</c:f>
              <c:numCache>
                <c:formatCode>General</c:formatCode>
                <c:ptCount val="7"/>
                <c:pt idx="0">
                  <c:v>16336.890672084699</c:v>
                </c:pt>
                <c:pt idx="1">
                  <c:v>-7792.9967117024371</c:v>
                </c:pt>
                <c:pt idx="2">
                  <c:v>20173.24773084974</c:v>
                </c:pt>
                <c:pt idx="3">
                  <c:v>0.43111014154055854</c:v>
                </c:pt>
                <c:pt idx="4">
                  <c:v>12380.251019147303</c:v>
                </c:pt>
                <c:pt idx="5">
                  <c:v>-8122.9542163668602</c:v>
                </c:pt>
                <c:pt idx="6">
                  <c:v>28717.141691232002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D76-4242-AA25-C5B1DE346D92}"/>
            </c:ext>
          </c:extLst>
        </c:ser>
        <c:ser>
          <c:idx val="8"/>
          <c:order val="8"/>
          <c:tx>
            <c:strRef>
              <c:f>'Pivot chart'!$J$3</c:f>
              <c:strCache>
                <c:ptCount val="1"/>
                <c:pt idx="0">
                  <c:v>Month 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chart'!$A$4:$A$10</c:f>
              <c:strCache>
                <c:ptCount val="7"/>
                <c:pt idx="0">
                  <c:v>COGS</c:v>
                </c:pt>
                <c:pt idx="1">
                  <c:v>EBITDA</c:v>
                </c:pt>
                <c:pt idx="2">
                  <c:v>Fixed Cost</c:v>
                </c:pt>
                <c:pt idx="3">
                  <c:v>Gross Margin</c:v>
                </c:pt>
                <c:pt idx="4">
                  <c:v>Gross Profit</c:v>
                </c:pt>
                <c:pt idx="5">
                  <c:v>Net Profit</c:v>
                </c:pt>
                <c:pt idx="6">
                  <c:v>Revenue</c:v>
                </c:pt>
              </c:strCache>
            </c:strRef>
          </c:cat>
          <c:val>
            <c:numRef>
              <c:f>'Pivot chart'!$J$4:$J$10</c:f>
              <c:numCache>
                <c:formatCode>General</c:formatCode>
                <c:ptCount val="7"/>
                <c:pt idx="0">
                  <c:v>16545.09148238206</c:v>
                </c:pt>
                <c:pt idx="1">
                  <c:v>-7978.0521201006522</c:v>
                </c:pt>
                <c:pt idx="2">
                  <c:v>20724.445162775235</c:v>
                </c:pt>
                <c:pt idx="3">
                  <c:v>0.43515694917309533</c:v>
                </c:pt>
                <c:pt idx="4">
                  <c:v>12746.393042674583</c:v>
                </c:pt>
                <c:pt idx="5">
                  <c:v>-8314.4510793492937</c:v>
                </c:pt>
                <c:pt idx="6">
                  <c:v>29291.484525056643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D76-4242-AA25-C5B1DE346D92}"/>
            </c:ext>
          </c:extLst>
        </c:ser>
        <c:ser>
          <c:idx val="9"/>
          <c:order val="9"/>
          <c:tx>
            <c:strRef>
              <c:f>'Pivot chart'!$K$3</c:f>
              <c:strCache>
                <c:ptCount val="1"/>
                <c:pt idx="0">
                  <c:v>Month 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chart'!$A$4:$A$10</c:f>
              <c:strCache>
                <c:ptCount val="7"/>
                <c:pt idx="0">
                  <c:v>COGS</c:v>
                </c:pt>
                <c:pt idx="1">
                  <c:v>EBITDA</c:v>
                </c:pt>
                <c:pt idx="2">
                  <c:v>Fixed Cost</c:v>
                </c:pt>
                <c:pt idx="3">
                  <c:v>Gross Margin</c:v>
                </c:pt>
                <c:pt idx="4">
                  <c:v>Gross Profit</c:v>
                </c:pt>
                <c:pt idx="5">
                  <c:v>Net Profit</c:v>
                </c:pt>
                <c:pt idx="6">
                  <c:v>Revenue</c:v>
                </c:pt>
              </c:strCache>
            </c:strRef>
          </c:cat>
          <c:val>
            <c:numRef>
              <c:f>'Pivot chart'!$K$4:$K$10</c:f>
              <c:numCache>
                <c:formatCode>General</c:formatCode>
                <c:ptCount val="7"/>
                <c:pt idx="0">
                  <c:v>16757.961166604116</c:v>
                </c:pt>
                <c:pt idx="1">
                  <c:v>-7681.0983187048296</c:v>
                </c:pt>
                <c:pt idx="2">
                  <c:v>20800.45136765849</c:v>
                </c:pt>
                <c:pt idx="3">
                  <c:v>0.43910750994217962</c:v>
                </c:pt>
                <c:pt idx="4">
                  <c:v>13119.353048953661</c:v>
                </c:pt>
                <c:pt idx="5">
                  <c:v>-8024.1412538090108</c:v>
                </c:pt>
                <c:pt idx="6">
                  <c:v>29877.314215557777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D76-4242-AA25-C5B1DE346D92}"/>
            </c:ext>
          </c:extLst>
        </c:ser>
        <c:ser>
          <c:idx val="10"/>
          <c:order val="10"/>
          <c:tx>
            <c:strRef>
              <c:f>'Pivot chart'!$L$3</c:f>
              <c:strCache>
                <c:ptCount val="1"/>
                <c:pt idx="0">
                  <c:v>Month 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chart'!$A$4:$A$10</c:f>
              <c:strCache>
                <c:ptCount val="7"/>
                <c:pt idx="0">
                  <c:v>COGS</c:v>
                </c:pt>
                <c:pt idx="1">
                  <c:v>EBITDA</c:v>
                </c:pt>
                <c:pt idx="2">
                  <c:v>Fixed Cost</c:v>
                </c:pt>
                <c:pt idx="3">
                  <c:v>Gross Margin</c:v>
                </c:pt>
                <c:pt idx="4">
                  <c:v>Gross Profit</c:v>
                </c:pt>
                <c:pt idx="5">
                  <c:v>Net Profit</c:v>
                </c:pt>
                <c:pt idx="6">
                  <c:v>Revenue</c:v>
                </c:pt>
              </c:strCache>
            </c:strRef>
          </c:cat>
          <c:val>
            <c:numRef>
              <c:f>'Pivot chart'!$L$4:$L$10</c:f>
              <c:numCache>
                <c:formatCode>General</c:formatCode>
                <c:ptCount val="7"/>
                <c:pt idx="0">
                  <c:v>16975.630387362115</c:v>
                </c:pt>
                <c:pt idx="1">
                  <c:v>-7379.5076461814242</c:v>
                </c:pt>
                <c:pt idx="2">
                  <c:v>20878.737758688247</c:v>
                </c:pt>
                <c:pt idx="3">
                  <c:v>0.44296281889673877</c:v>
                </c:pt>
                <c:pt idx="4">
                  <c:v>13499.230112506822</c:v>
                </c:pt>
                <c:pt idx="5">
                  <c:v>-7729.4040765250793</c:v>
                </c:pt>
                <c:pt idx="6">
                  <c:v>30474.860499868937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D76-4242-AA25-C5B1DE346D92}"/>
            </c:ext>
          </c:extLst>
        </c:ser>
        <c:ser>
          <c:idx val="11"/>
          <c:order val="11"/>
          <c:tx>
            <c:strRef>
              <c:f>'Pivot chart'!$M$3</c:f>
              <c:strCache>
                <c:ptCount val="1"/>
                <c:pt idx="0">
                  <c:v>Month 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chart'!$A$4:$A$10</c:f>
              <c:strCache>
                <c:ptCount val="7"/>
                <c:pt idx="0">
                  <c:v>COGS</c:v>
                </c:pt>
                <c:pt idx="1">
                  <c:v>EBITDA</c:v>
                </c:pt>
                <c:pt idx="2">
                  <c:v>Fixed Cost</c:v>
                </c:pt>
                <c:pt idx="3">
                  <c:v>Gross Margin</c:v>
                </c:pt>
                <c:pt idx="4">
                  <c:v>Gross Profit</c:v>
                </c:pt>
                <c:pt idx="5">
                  <c:v>Net Profit</c:v>
                </c:pt>
                <c:pt idx="6">
                  <c:v>Revenue</c:v>
                </c:pt>
              </c:strCache>
            </c:strRef>
          </c:cat>
          <c:val>
            <c:numRef>
              <c:f>'Pivot chart'!$M$4:$M$10</c:f>
              <c:numCache>
                <c:formatCode>General</c:formatCode>
                <c:ptCount val="7"/>
                <c:pt idx="0">
                  <c:v>17198.233677947628</c:v>
                </c:pt>
                <c:pt idx="1">
                  <c:v>-7564.9758595302083</c:v>
                </c:pt>
                <c:pt idx="2">
                  <c:v>21451.099891448896</c:v>
                </c:pt>
                <c:pt idx="3">
                  <c:v>0.4467238526054913</c:v>
                </c:pt>
                <c:pt idx="4">
                  <c:v>13886.124031918687</c:v>
                </c:pt>
                <c:pt idx="5">
                  <c:v>-7921.9425604796224</c:v>
                </c:pt>
                <c:pt idx="6">
                  <c:v>31084.357709866315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D76-4242-AA25-C5B1DE346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4100224"/>
        <c:axId val="1484101664"/>
      </c:barChart>
      <c:catAx>
        <c:axId val="148410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101664"/>
        <c:crosses val="autoZero"/>
        <c:auto val="1"/>
        <c:lblAlgn val="ctr"/>
        <c:lblOffset val="100"/>
        <c:noMultiLvlLbl val="0"/>
      </c:catAx>
      <c:valAx>
        <c:axId val="148410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10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91440</xdr:colOff>
      <xdr:row>12</xdr:row>
      <xdr:rowOff>91440</xdr:rowOff>
    </xdr:from>
    <xdr:to>
      <xdr:col>11</xdr:col>
      <xdr:colOff>441960</xdr:colOff>
      <xdr:row>31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7BC062-8B33-CC45-B148-FF82690A2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ash Nithish" refreshedDate="45469.390418287039" createdVersion="8" refreshedVersion="8" minRefreshableVersion="3" recordCount="23" xr:uid="{470998AF-1FB4-4015-8516-2A19A2BB1525}">
  <cacheSource type="worksheet">
    <worksheetSource name="Table2"/>
  </cacheSource>
  <cacheFields count="13">
    <cacheField name="Description" numFmtId="0">
      <sharedItems count="23">
        <s v="Units sold"/>
        <s v="Revenue"/>
        <s v="COGS"/>
        <s v="Material Cost"/>
        <s v="Labor Cost"/>
        <s v="Overhead Cost"/>
        <s v="Gross Profit"/>
        <s v="Gross Margin"/>
        <s v="Fixed Cost"/>
        <s v="Marketing Expense"/>
        <s v="Rent"/>
        <s v="Utilities"/>
        <s v="Employees"/>
        <s v="Average Salary"/>
        <s v="Salaries"/>
        <s v="EBITDA"/>
        <s v="Depreciation"/>
        <s v="Amortization"/>
        <s v="EBIT"/>
        <s v="Interest"/>
        <s v="EBT"/>
        <s v="Tax"/>
        <s v="Net Profit"/>
      </sharedItems>
    </cacheField>
    <cacheField name="1" numFmtId="0">
      <sharedItems containsSemiMixedTypes="0" containsString="0" containsNumber="1" minValue="-9090" maxValue="25000" count="20">
        <n v="125"/>
        <n v="25000"/>
        <n v="15000"/>
        <n v="70"/>
        <n v="30"/>
        <n v="20"/>
        <n v="10000"/>
        <n v="0.4"/>
        <n v="18800"/>
        <n v="2000"/>
        <n v="1500"/>
        <n v="300"/>
        <n v="5"/>
        <n v="3000"/>
        <n v="-8800"/>
        <n v="120"/>
        <n v="-8990"/>
        <n v="100"/>
        <n v="-9090"/>
        <n v="0"/>
      </sharedItems>
    </cacheField>
    <cacheField name="2" numFmtId="0">
      <sharedItems containsSemiMixedTypes="0" containsString="0" containsNumber="1" minValue="-8834.0749999999989" maxValue="25500" count="22">
        <n v="127.5"/>
        <n v="25500"/>
        <n v="15178.875"/>
        <n v="68.95"/>
        <n v="30.3"/>
        <n v="19.8"/>
        <n v="10321.125"/>
        <n v="0.40475"/>
        <n v="18860"/>
        <n v="2060"/>
        <n v="1500"/>
        <n v="300"/>
        <n v="5"/>
        <n v="3000"/>
        <n v="15000"/>
        <n v="-8538.875"/>
        <n v="122.4"/>
        <n v="72.8"/>
        <n v="-8734.0749999999989"/>
        <n v="100"/>
        <n v="-8834.0749999999989"/>
        <n v="0"/>
      </sharedItems>
    </cacheField>
    <cacheField name="3" numFmtId="0">
      <sharedItems containsSemiMixedTypes="0" containsString="0" containsNumber="1" minValue="-9023.963537499998" maxValue="26010.000000000004" count="22">
        <n v="130.05000000000001"/>
        <n v="26010.000000000004"/>
        <n v="15361.603537500003"/>
        <n v="67.915750000000003"/>
        <n v="30.603000000000002"/>
        <n v="19.602"/>
        <n v="10648.396462500001"/>
        <n v="0.40939624999999996"/>
        <n v="19371.8"/>
        <n v="2121.8000000000002"/>
        <n v="1500"/>
        <n v="300"/>
        <n v="5"/>
        <n v="3090"/>
        <n v="15450"/>
        <n v="-8723.4035374999985"/>
        <n v="124.84800000000001"/>
        <n v="75.712000000000003"/>
        <n v="-8923.963537499998"/>
        <n v="100"/>
        <n v="-9023.963537499998"/>
        <n v="0"/>
      </sharedItems>
    </cacheField>
    <cacheField name="4" numFmtId="0">
      <sharedItems containsSemiMixedTypes="0" containsString="0" containsNumber="1" minValue="-8759.6316024612534" maxValue="26530.2" count="22">
        <n v="132.65100000000001"/>
        <n v="26530.2"/>
        <n v="15548.292162461252"/>
        <n v="66.897013749999999"/>
        <n v="30.909030000000001"/>
        <n v="19.40598"/>
        <n v="10981.907837538749"/>
        <n v="0.41393988124999997"/>
        <n v="19435.454000000002"/>
        <n v="2185.4540000000002"/>
        <n v="1500"/>
        <n v="300"/>
        <n v="5"/>
        <n v="3090"/>
        <n v="15450"/>
        <n v="-8453.5461624612526"/>
        <n v="127.34496000000001"/>
        <n v="78.740480000000005"/>
        <n v="-8659.6316024612534"/>
        <n v="100"/>
        <n v="-8759.6316024612534"/>
        <n v="0"/>
      </sharedItems>
    </cacheField>
    <cacheField name="5" numFmtId="0">
      <sharedItems containsSemiMixedTypes="0" containsString="0" containsNumber="1" minValue="-8491.046149887532" maxValue="27060.804" count="22">
        <n v="135.30402000000001"/>
        <n v="27060.804"/>
        <n v="15739.050571487533"/>
        <n v="65.893558543750004"/>
        <n v="31.218120300000002"/>
        <n v="19.211920199999998"/>
        <n v="11321.753428512468"/>
        <n v="0.41838200478124993"/>
        <n v="19501.017619999999"/>
        <n v="2251.0176200000001"/>
        <n v="1500"/>
        <n v="300"/>
        <n v="5"/>
        <n v="3090"/>
        <n v="15450"/>
        <n v="-8179.2641914875312"/>
        <n v="129.89185920000003"/>
        <n v="81.890099200000009"/>
        <n v="-8391.046149887532"/>
        <n v="100"/>
        <n v="-8491.046149887532"/>
        <n v="0"/>
      </sharedItems>
    </cacheField>
    <cacheField name="6" numFmtId="0">
      <sharedItems containsSemiMixedTypes="0" containsString="0" containsNumber="1" minValue="-8681.6751704264789" maxValue="27602.020079999998" count="22">
        <n v="138.0101004"/>
        <n v="27602.020079999998"/>
        <n v="15933.991702274474"/>
        <n v="64.905155165593754"/>
        <n v="31.530301503000004"/>
        <n v="19.019800997999997"/>
        <n v="11668.028377725524"/>
        <n v="0.42272371166703121"/>
        <n v="20032.048148600003"/>
        <n v="2318.5481486000003"/>
        <n v="1500"/>
        <n v="300"/>
        <n v="5"/>
        <n v="3182.7000000000003"/>
        <n v="15913.500000000002"/>
        <n v="-8364.0197708744781"/>
        <n v="132.48969638400004"/>
        <n v="85.165703168000007"/>
        <n v="-8581.6751704264789"/>
        <n v="100"/>
        <n v="-8681.6751704264789"/>
        <n v="0"/>
      </sharedItems>
    </cacheField>
    <cacheField name="7" numFmtId="0">
      <sharedItems containsSemiMixedTypes="0" containsString="0" containsNumber="1" minValue="-8404.4877639705246" maxValue="28154.060481599998" count="22">
        <n v="140.77030240799999"/>
        <n v="28154.060481599998"/>
        <n v="16133.231830906123"/>
        <n v="63.931577838109845"/>
        <n v="31.845604518030004"/>
        <n v="18.829602988019996"/>
        <n v="12020.828650693875"/>
        <n v="0.42696607327920078"/>
        <n v="20101.604593058"/>
        <n v="2388.1045930580003"/>
        <n v="1500"/>
        <n v="300"/>
        <n v="5"/>
        <n v="3182.7000000000003"/>
        <n v="15913.500000000002"/>
        <n v="-8080.7759423641255"/>
        <n v="135.13949031168005"/>
        <n v="88.572331294720016"/>
        <n v="-8304.4877639705246"/>
        <n v="100"/>
        <n v="-8404.4877639705246"/>
        <n v="0"/>
      </sharedItems>
    </cacheField>
    <cacheField name="8" numFmtId="0">
      <sharedItems containsSemiMixedTypes="0" containsString="0" containsNumber="1" minValue="-8122.9542163668602" maxValue="28717.141691232002" count="22">
        <n v="143.58570845616001"/>
        <n v="28717.141691232002"/>
        <n v="16336.890672084699"/>
        <n v="62.972604170538197"/>
        <n v="32.164060563210306"/>
        <n v="18.641306958139797"/>
        <n v="12380.251019147303"/>
        <n v="0.43111014154055854"/>
        <n v="20173.24773084974"/>
        <n v="2459.7477308497405"/>
        <n v="1500"/>
        <n v="300"/>
        <n v="5"/>
        <n v="3182.7000000000003"/>
        <n v="15913.500000000002"/>
        <n v="-7792.9967117024371"/>
        <n v="137.84228011791365"/>
        <n v="92.115224546508813"/>
        <n v="-8022.9542163668602"/>
        <n v="100"/>
        <n v="-8122.9542163668602"/>
        <n v="0"/>
      </sharedItems>
    </cacheField>
    <cacheField name="9" numFmtId="0">
      <sharedItems containsSemiMixedTypes="0" containsString="0" containsNumber="1" minValue="-8314.4510793492937" maxValue="29291.484525056643" count="22">
        <n v="146.45742262528321"/>
        <n v="29291.484525056643"/>
        <n v="16545.09148238206"/>
        <n v="62.028015107980124"/>
        <n v="32.485701168842411"/>
        <n v="18.454893888558399"/>
        <n v="12746.393042674583"/>
        <n v="0.43515694917309533"/>
        <n v="20724.445162775235"/>
        <n v="2533.5401627752326"/>
        <n v="1500"/>
        <n v="300"/>
        <n v="5"/>
        <n v="3278.1810000000005"/>
        <n v="16390.905000000002"/>
        <n v="-7978.0521201006522"/>
        <n v="140.59912572027193"/>
        <n v="95.799833528369163"/>
        <n v="-8214.4510793492937"/>
        <n v="100"/>
        <n v="-8314.4510793492937"/>
        <n v="0"/>
      </sharedItems>
    </cacheField>
    <cacheField name="10" numFmtId="0">
      <sharedItems containsSemiMixedTypes="0" containsString="0" containsNumber="1" minValue="-8024.1412538090108" maxValue="29877.314215557777" count="22">
        <n v="149.38657107778889"/>
        <n v="29877.314215557777"/>
        <n v="16757.961166604116"/>
        <n v="61.097594881360422"/>
        <n v="32.810558180530833"/>
        <n v="18.270344949672815"/>
        <n v="13119.353048953661"/>
        <n v="0.43910750994217962"/>
        <n v="20800.45136765849"/>
        <n v="2609.5463676584895"/>
        <n v="1500"/>
        <n v="300"/>
        <n v="5"/>
        <n v="3278.1810000000005"/>
        <n v="16390.905000000002"/>
        <n v="-7681.0983187048296"/>
        <n v="143.41110823467736"/>
        <n v="99.631826869503939"/>
        <n v="-7924.1412538090108"/>
        <n v="100"/>
        <n v="-8024.1412538090108"/>
        <n v="0"/>
      </sharedItems>
    </cacheField>
    <cacheField name="11" numFmtId="0">
      <sharedItems containsSemiMixedTypes="0" containsString="0" containsNumber="1" minValue="-7729.4040765250793" maxValue="30474.860499868937" count="22">
        <n v="152.37430249934468"/>
        <n v="30474.860499868937"/>
        <n v="16975.630387362115"/>
        <n v="60.181130958140017"/>
        <n v="33.138663762336144"/>
        <n v="18.087641500176087"/>
        <n v="13499.230112506822"/>
        <n v="0.44296281889673877"/>
        <n v="20878.737758688247"/>
        <n v="2687.8327586882442"/>
        <n v="1500"/>
        <n v="300"/>
        <n v="5"/>
        <n v="3278.1810000000005"/>
        <n v="16390.905000000002"/>
        <n v="-7379.5076461814242"/>
        <n v="146.27933039937091"/>
        <n v="103.61709994428411"/>
        <n v="-7629.4040765250793"/>
        <n v="100"/>
        <n v="-7729.4040765250793"/>
        <n v="0"/>
      </sharedItems>
    </cacheField>
    <cacheField name="12" numFmtId="0">
      <sharedItems containsSemiMixedTypes="0" containsString="0" containsNumber="1" minValue="-7921.9425604796224" maxValue="31084.357709866315" count="22">
        <n v="155.42178854933158"/>
        <n v="31084.357709866315"/>
        <n v="17198.233677947628"/>
        <n v="59.278413993767913"/>
        <n v="33.470050399959504"/>
        <n v="17.906765085174325"/>
        <n v="13886.124031918687"/>
        <n v="0.4467238526054913"/>
        <n v="21451.099891448896"/>
        <n v="2768.4677414488915"/>
        <n v="1500"/>
        <n v="300"/>
        <n v="5"/>
        <n v="3376.5264300000008"/>
        <n v="16882.632150000005"/>
        <n v="-7564.9758595302083"/>
        <n v="149.20491700735832"/>
        <n v="107.76178394205547"/>
        <n v="-7821.9425604796224"/>
        <n v="100"/>
        <n v="-7921.9425604796224"/>
        <n v="0"/>
      </sharedItems>
    </cacheField>
  </cacheFields>
  <extLst>
    <ext xmlns:x14="http://schemas.microsoft.com/office/spreadsheetml/2009/9/main" uri="{725AE2AE-9491-48be-B2B4-4EB974FC3084}">
      <x14:pivotCacheDefinition pivotCacheId="24719524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1"/>
    <x v="1"/>
    <x v="1"/>
  </r>
  <r>
    <x v="2"/>
    <x v="2"/>
    <x v="2"/>
    <x v="2"/>
    <x v="2"/>
    <x v="2"/>
    <x v="2"/>
    <x v="2"/>
    <x v="2"/>
    <x v="2"/>
    <x v="2"/>
    <x v="2"/>
    <x v="2"/>
  </r>
  <r>
    <x v="3"/>
    <x v="3"/>
    <x v="3"/>
    <x v="3"/>
    <x v="3"/>
    <x v="3"/>
    <x v="3"/>
    <x v="3"/>
    <x v="3"/>
    <x v="3"/>
    <x v="3"/>
    <x v="3"/>
    <x v="3"/>
  </r>
  <r>
    <x v="4"/>
    <x v="4"/>
    <x v="4"/>
    <x v="4"/>
    <x v="4"/>
    <x v="4"/>
    <x v="4"/>
    <x v="4"/>
    <x v="4"/>
    <x v="4"/>
    <x v="4"/>
    <x v="4"/>
    <x v="4"/>
  </r>
  <r>
    <x v="5"/>
    <x v="5"/>
    <x v="5"/>
    <x v="5"/>
    <x v="5"/>
    <x v="5"/>
    <x v="5"/>
    <x v="5"/>
    <x v="5"/>
    <x v="5"/>
    <x v="5"/>
    <x v="5"/>
    <x v="5"/>
  </r>
  <r>
    <x v="6"/>
    <x v="6"/>
    <x v="6"/>
    <x v="6"/>
    <x v="6"/>
    <x v="6"/>
    <x v="6"/>
    <x v="6"/>
    <x v="6"/>
    <x v="6"/>
    <x v="6"/>
    <x v="6"/>
    <x v="6"/>
  </r>
  <r>
    <x v="7"/>
    <x v="7"/>
    <x v="7"/>
    <x v="7"/>
    <x v="7"/>
    <x v="7"/>
    <x v="7"/>
    <x v="7"/>
    <x v="7"/>
    <x v="7"/>
    <x v="7"/>
    <x v="7"/>
    <x v="7"/>
  </r>
  <r>
    <x v="8"/>
    <x v="8"/>
    <x v="8"/>
    <x v="8"/>
    <x v="8"/>
    <x v="8"/>
    <x v="8"/>
    <x v="8"/>
    <x v="8"/>
    <x v="8"/>
    <x v="8"/>
    <x v="8"/>
    <x v="8"/>
  </r>
  <r>
    <x v="9"/>
    <x v="9"/>
    <x v="9"/>
    <x v="9"/>
    <x v="9"/>
    <x v="9"/>
    <x v="9"/>
    <x v="9"/>
    <x v="9"/>
    <x v="9"/>
    <x v="9"/>
    <x v="9"/>
    <x v="9"/>
  </r>
  <r>
    <x v="10"/>
    <x v="10"/>
    <x v="10"/>
    <x v="10"/>
    <x v="10"/>
    <x v="10"/>
    <x v="10"/>
    <x v="10"/>
    <x v="10"/>
    <x v="10"/>
    <x v="10"/>
    <x v="10"/>
    <x v="10"/>
  </r>
  <r>
    <x v="11"/>
    <x v="11"/>
    <x v="11"/>
    <x v="11"/>
    <x v="11"/>
    <x v="11"/>
    <x v="11"/>
    <x v="11"/>
    <x v="11"/>
    <x v="11"/>
    <x v="11"/>
    <x v="11"/>
    <x v="11"/>
  </r>
  <r>
    <x v="12"/>
    <x v="12"/>
    <x v="12"/>
    <x v="12"/>
    <x v="12"/>
    <x v="12"/>
    <x v="12"/>
    <x v="12"/>
    <x v="12"/>
    <x v="12"/>
    <x v="12"/>
    <x v="12"/>
    <x v="12"/>
  </r>
  <r>
    <x v="13"/>
    <x v="13"/>
    <x v="13"/>
    <x v="13"/>
    <x v="13"/>
    <x v="13"/>
    <x v="13"/>
    <x v="13"/>
    <x v="13"/>
    <x v="13"/>
    <x v="13"/>
    <x v="13"/>
    <x v="13"/>
  </r>
  <r>
    <x v="14"/>
    <x v="2"/>
    <x v="14"/>
    <x v="14"/>
    <x v="14"/>
    <x v="14"/>
    <x v="14"/>
    <x v="14"/>
    <x v="14"/>
    <x v="14"/>
    <x v="14"/>
    <x v="14"/>
    <x v="14"/>
  </r>
  <r>
    <x v="15"/>
    <x v="14"/>
    <x v="15"/>
    <x v="15"/>
    <x v="15"/>
    <x v="15"/>
    <x v="15"/>
    <x v="15"/>
    <x v="15"/>
    <x v="15"/>
    <x v="15"/>
    <x v="15"/>
    <x v="15"/>
  </r>
  <r>
    <x v="16"/>
    <x v="15"/>
    <x v="16"/>
    <x v="16"/>
    <x v="16"/>
    <x v="16"/>
    <x v="16"/>
    <x v="16"/>
    <x v="16"/>
    <x v="16"/>
    <x v="16"/>
    <x v="16"/>
    <x v="16"/>
  </r>
  <r>
    <x v="17"/>
    <x v="3"/>
    <x v="17"/>
    <x v="17"/>
    <x v="17"/>
    <x v="17"/>
    <x v="17"/>
    <x v="17"/>
    <x v="17"/>
    <x v="17"/>
    <x v="17"/>
    <x v="17"/>
    <x v="17"/>
  </r>
  <r>
    <x v="18"/>
    <x v="16"/>
    <x v="18"/>
    <x v="18"/>
    <x v="18"/>
    <x v="18"/>
    <x v="18"/>
    <x v="18"/>
    <x v="18"/>
    <x v="18"/>
    <x v="18"/>
    <x v="18"/>
    <x v="18"/>
  </r>
  <r>
    <x v="19"/>
    <x v="17"/>
    <x v="19"/>
    <x v="19"/>
    <x v="19"/>
    <x v="19"/>
    <x v="19"/>
    <x v="19"/>
    <x v="19"/>
    <x v="19"/>
    <x v="19"/>
    <x v="19"/>
    <x v="19"/>
  </r>
  <r>
    <x v="20"/>
    <x v="18"/>
    <x v="20"/>
    <x v="20"/>
    <x v="20"/>
    <x v="20"/>
    <x v="20"/>
    <x v="20"/>
    <x v="20"/>
    <x v="20"/>
    <x v="20"/>
    <x v="20"/>
    <x v="20"/>
  </r>
  <r>
    <x v="21"/>
    <x v="19"/>
    <x v="21"/>
    <x v="21"/>
    <x v="21"/>
    <x v="21"/>
    <x v="21"/>
    <x v="21"/>
    <x v="21"/>
    <x v="21"/>
    <x v="21"/>
    <x v="21"/>
    <x v="21"/>
  </r>
  <r>
    <x v="22"/>
    <x v="18"/>
    <x v="20"/>
    <x v="20"/>
    <x v="20"/>
    <x v="20"/>
    <x v="20"/>
    <x v="20"/>
    <x v="20"/>
    <x v="20"/>
    <x v="20"/>
    <x v="20"/>
    <x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46CFF4-A212-4467-A26F-F49CDC55C940}" name="PivotTable1" cacheId="1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>
  <location ref="A3:M10" firstHeaderRow="0" firstDataRow="1" firstDataCol="1"/>
  <pivotFields count="13">
    <pivotField axis="axisRow" showAll="0">
      <items count="24">
        <item h="1" x="17"/>
        <item h="1" x="13"/>
        <item x="2"/>
        <item h="1" x="16"/>
        <item h="1" x="18"/>
        <item x="15"/>
        <item h="1" x="20"/>
        <item h="1" x="12"/>
        <item x="8"/>
        <item x="7"/>
        <item x="6"/>
        <item h="1" x="19"/>
        <item h="1" x="4"/>
        <item h="1" x="9"/>
        <item h="1" x="3"/>
        <item x="22"/>
        <item h="1" x="5"/>
        <item h="1" x="10"/>
        <item x="1"/>
        <item h="1" x="14"/>
        <item h="1" x="21"/>
        <item h="1" x="0"/>
        <item h="1" x="11"/>
        <item t="default"/>
      </items>
    </pivotField>
    <pivotField dataField="1" showAll="0">
      <items count="21">
        <item x="18"/>
        <item x="16"/>
        <item x="14"/>
        <item x="19"/>
        <item x="7"/>
        <item x="12"/>
        <item x="5"/>
        <item x="4"/>
        <item x="3"/>
        <item x="17"/>
        <item x="15"/>
        <item x="0"/>
        <item x="11"/>
        <item x="10"/>
        <item x="9"/>
        <item x="13"/>
        <item x="6"/>
        <item x="2"/>
        <item x="8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7">
    <i>
      <x v="2"/>
    </i>
    <i>
      <x v="5"/>
    </i>
    <i>
      <x v="8"/>
    </i>
    <i>
      <x v="9"/>
    </i>
    <i>
      <x v="10"/>
    </i>
    <i>
      <x v="15"/>
    </i>
    <i>
      <x v="18"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Month 1" fld="1" baseField="0" baseItem="0"/>
    <dataField name="Month 2" fld="2" baseField="0" baseItem="0"/>
    <dataField name="Month 3" fld="3" baseField="0" baseItem="0"/>
    <dataField name="Month 4" fld="4" baseField="0" baseItem="0"/>
    <dataField name="Month 5" fld="5" baseField="0" baseItem="0"/>
    <dataField name="Month 6" fld="6" baseField="0" baseItem="0"/>
    <dataField name="Month 7" fld="7" baseField="0" baseItem="0"/>
    <dataField name="Month 8" fld="8" baseField="0" baseItem="0"/>
    <dataField name="Month 9" fld="9" baseField="0" baseItem="0"/>
    <dataField name="Month 10" fld="10" baseField="0" baseItem="0"/>
    <dataField name="Month 11" fld="11" baseField="0" baseItem="0"/>
    <dataField name="Month 12" fld="12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CF3BE7-632E-4308-B367-78EE4B01121C}" name="Table1" displayName="Table1" ref="A1:B26" totalsRowShown="0" headerRowDxfId="23" headerRowBorderDxfId="22" tableBorderDxfId="21" totalsRowBorderDxfId="20">
  <tableColumns count="2">
    <tableColumn id="1" xr3:uid="{E3BB44ED-0689-4D3B-B15F-09DD6BD2EAE2}" name="Description" dataDxfId="19"/>
    <tableColumn id="2" xr3:uid="{37A79B90-A8A1-44B5-9012-15D000164EAC}" name="Values" data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6160B7-BF30-48FB-A8A8-492B7F7136A9}" name="Table2" displayName="Table2" ref="A1:M24" totalsRowShown="0" headerRowDxfId="0" dataDxfId="1" headerRowBorderDxfId="16" tableBorderDxfId="17" totalsRowBorderDxfId="15">
  <tableColumns count="13">
    <tableColumn id="1" xr3:uid="{1E93E230-77F8-49D8-A2AC-22D0D6841345}" name="Description" dataDxfId="14"/>
    <tableColumn id="2" xr3:uid="{C883BD15-47E7-4263-8FF3-73CD940F7770}" name="1" dataDxfId="13"/>
    <tableColumn id="3" xr3:uid="{ABE29160-0A7F-499F-8C66-7F010089EDCE}" name="2" dataDxfId="12"/>
    <tableColumn id="4" xr3:uid="{CAE50CE6-DEC9-4D91-BAC9-D4633D2AF89B}" name="3" dataDxfId="11"/>
    <tableColumn id="5" xr3:uid="{4005D47D-BCCD-4DC2-9662-6E184E4C677B}" name="4" dataDxfId="10"/>
    <tableColumn id="6" xr3:uid="{7E03E7C7-915D-4056-A4AA-AB50B2C13518}" name="5" dataDxfId="9"/>
    <tableColumn id="7" xr3:uid="{5FD5C4F3-3F1A-40CE-B51D-1C958BD6BE76}" name="6" dataDxfId="8"/>
    <tableColumn id="8" xr3:uid="{104B338B-17FC-4079-B3AC-6DA395C5356D}" name="7" dataDxfId="7"/>
    <tableColumn id="9" xr3:uid="{2B727689-D2FD-4A55-96A8-FA7C72EF6833}" name="8" dataDxfId="6"/>
    <tableColumn id="10" xr3:uid="{1836EC07-F09A-4C59-8BE5-670EA79985AA}" name="9" dataDxfId="5"/>
    <tableColumn id="11" xr3:uid="{D60F925E-0626-4F85-9BCD-49A13E89CB6E}" name="10" dataDxfId="4"/>
    <tableColumn id="12" xr3:uid="{3B20FDF0-0AA4-44B8-8192-0C3243BC0E78}" name="11" dataDxfId="3"/>
    <tableColumn id="13" xr3:uid="{F1837745-EACE-4D95-BD01-6BD247CECBD0}" name="12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FD5EE-BDDB-4624-AF75-69970F8172BD}">
  <dimension ref="A1:B26"/>
  <sheetViews>
    <sheetView tabSelected="1" topLeftCell="A8" workbookViewId="0">
      <selection activeCell="H19" sqref="H19"/>
    </sheetView>
  </sheetViews>
  <sheetFormatPr defaultRowHeight="14.4" x14ac:dyDescent="0.3"/>
  <cols>
    <col min="1" max="2" width="27.6640625" customWidth="1"/>
  </cols>
  <sheetData>
    <row r="1" spans="1:2" x14ac:dyDescent="0.3">
      <c r="A1" s="1" t="s">
        <v>0</v>
      </c>
      <c r="B1" s="2" t="s">
        <v>1</v>
      </c>
    </row>
    <row r="2" spans="1:2" x14ac:dyDescent="0.3">
      <c r="A2" s="3" t="s">
        <v>2</v>
      </c>
      <c r="B2" s="4">
        <v>125</v>
      </c>
    </row>
    <row r="3" spans="1:2" x14ac:dyDescent="0.3">
      <c r="A3" s="3" t="s">
        <v>3</v>
      </c>
      <c r="B3" s="4">
        <v>200</v>
      </c>
    </row>
    <row r="4" spans="1:2" ht="28.8" x14ac:dyDescent="0.3">
      <c r="A4" s="3" t="s">
        <v>4</v>
      </c>
      <c r="B4" s="6">
        <v>0.02</v>
      </c>
    </row>
    <row r="5" spans="1:2" x14ac:dyDescent="0.3">
      <c r="A5" s="3" t="s">
        <v>5</v>
      </c>
      <c r="B5" s="4">
        <v>70</v>
      </c>
    </row>
    <row r="6" spans="1:2" ht="28.8" x14ac:dyDescent="0.3">
      <c r="A6" s="3" t="s">
        <v>6</v>
      </c>
      <c r="B6" s="7">
        <v>1.4999999999999999E-2</v>
      </c>
    </row>
    <row r="7" spans="1:2" x14ac:dyDescent="0.3">
      <c r="A7" s="3" t="s">
        <v>7</v>
      </c>
      <c r="B7" s="4">
        <v>30</v>
      </c>
    </row>
    <row r="8" spans="1:2" ht="28.8" x14ac:dyDescent="0.3">
      <c r="A8" s="3" t="s">
        <v>8</v>
      </c>
      <c r="B8" s="6">
        <v>0.01</v>
      </c>
    </row>
    <row r="9" spans="1:2" x14ac:dyDescent="0.3">
      <c r="A9" s="3" t="s">
        <v>9</v>
      </c>
      <c r="B9" s="4">
        <v>20</v>
      </c>
    </row>
    <row r="10" spans="1:2" ht="28.8" x14ac:dyDescent="0.3">
      <c r="A10" s="3" t="s">
        <v>10</v>
      </c>
      <c r="B10" s="6">
        <v>0.01</v>
      </c>
    </row>
    <row r="11" spans="1:2" x14ac:dyDescent="0.3">
      <c r="A11" s="3" t="s">
        <v>11</v>
      </c>
      <c r="B11" s="4">
        <v>2000</v>
      </c>
    </row>
    <row r="12" spans="1:2" ht="28.8" x14ac:dyDescent="0.3">
      <c r="A12" s="3" t="s">
        <v>12</v>
      </c>
      <c r="B12" s="6">
        <v>0.03</v>
      </c>
    </row>
    <row r="13" spans="1:2" x14ac:dyDescent="0.3">
      <c r="A13" s="3" t="s">
        <v>13</v>
      </c>
      <c r="B13" s="4">
        <v>1500</v>
      </c>
    </row>
    <row r="14" spans="1:2" x14ac:dyDescent="0.3">
      <c r="A14" s="3" t="s">
        <v>14</v>
      </c>
      <c r="B14" s="4">
        <v>300</v>
      </c>
    </row>
    <row r="15" spans="1:2" x14ac:dyDescent="0.3">
      <c r="A15" s="3" t="s">
        <v>15</v>
      </c>
      <c r="B15" s="4">
        <v>5</v>
      </c>
    </row>
    <row r="16" spans="1:2" x14ac:dyDescent="0.3">
      <c r="A16" s="3" t="s">
        <v>29</v>
      </c>
      <c r="B16" s="4">
        <v>3000</v>
      </c>
    </row>
    <row r="17" spans="1:2" x14ac:dyDescent="0.3">
      <c r="A17" s="3">
        <v>4</v>
      </c>
      <c r="B17" s="4">
        <v>2</v>
      </c>
    </row>
    <row r="18" spans="1:2" x14ac:dyDescent="0.3">
      <c r="A18" s="3">
        <v>8</v>
      </c>
      <c r="B18" s="4">
        <v>2</v>
      </c>
    </row>
    <row r="19" spans="1:2" x14ac:dyDescent="0.3">
      <c r="A19" s="3" t="s">
        <v>16</v>
      </c>
      <c r="B19" s="4">
        <v>3</v>
      </c>
    </row>
    <row r="20" spans="1:2" x14ac:dyDescent="0.3">
      <c r="A20" s="3" t="s">
        <v>17</v>
      </c>
      <c r="B20" s="6">
        <v>0.03</v>
      </c>
    </row>
    <row r="21" spans="1:2" x14ac:dyDescent="0.3">
      <c r="A21" s="3" t="s">
        <v>18</v>
      </c>
      <c r="B21" s="4">
        <v>120</v>
      </c>
    </row>
    <row r="22" spans="1:2" ht="28.8" x14ac:dyDescent="0.3">
      <c r="A22" s="3" t="s">
        <v>19</v>
      </c>
      <c r="B22" s="6">
        <v>0.02</v>
      </c>
    </row>
    <row r="23" spans="1:2" x14ac:dyDescent="0.3">
      <c r="A23" s="3" t="s">
        <v>20</v>
      </c>
      <c r="B23" s="4">
        <v>70</v>
      </c>
    </row>
    <row r="24" spans="1:2" ht="28.8" x14ac:dyDescent="0.3">
      <c r="A24" s="3" t="s">
        <v>21</v>
      </c>
      <c r="B24" s="6">
        <v>0.04</v>
      </c>
    </row>
    <row r="25" spans="1:2" x14ac:dyDescent="0.3">
      <c r="A25" s="3" t="s">
        <v>22</v>
      </c>
      <c r="B25" s="4">
        <v>100</v>
      </c>
    </row>
    <row r="26" spans="1:2" x14ac:dyDescent="0.3">
      <c r="A26" s="5" t="s">
        <v>23</v>
      </c>
      <c r="B26" s="8">
        <v>0.05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D19B0-56B0-4FA2-90E1-3872FED2BF18}">
  <dimension ref="A1:M24"/>
  <sheetViews>
    <sheetView topLeftCell="A5" workbookViewId="0">
      <selection activeCell="C27" sqref="C27"/>
    </sheetView>
  </sheetViews>
  <sheetFormatPr defaultRowHeight="14.4" x14ac:dyDescent="0.3"/>
  <cols>
    <col min="1" max="1" width="22.21875" customWidth="1"/>
    <col min="2" max="13" width="13.109375" customWidth="1"/>
  </cols>
  <sheetData>
    <row r="1" spans="1:13" x14ac:dyDescent="0.3">
      <c r="A1" s="1" t="s">
        <v>0</v>
      </c>
      <c r="B1" s="14" t="s">
        <v>46</v>
      </c>
      <c r="C1" s="14" t="s">
        <v>47</v>
      </c>
      <c r="D1" s="14" t="s">
        <v>48</v>
      </c>
      <c r="E1" s="14" t="s">
        <v>49</v>
      </c>
      <c r="F1" s="14" t="s">
        <v>50</v>
      </c>
      <c r="G1" s="14" t="s">
        <v>51</v>
      </c>
      <c r="H1" s="14" t="s">
        <v>52</v>
      </c>
      <c r="I1" s="14" t="s">
        <v>53</v>
      </c>
      <c r="J1" s="14" t="s">
        <v>54</v>
      </c>
      <c r="K1" s="14" t="s">
        <v>55</v>
      </c>
      <c r="L1" s="14" t="s">
        <v>56</v>
      </c>
      <c r="M1" s="2" t="s">
        <v>57</v>
      </c>
    </row>
    <row r="2" spans="1:13" x14ac:dyDescent="0.3">
      <c r="A2" s="3" t="s">
        <v>41</v>
      </c>
      <c r="B2" s="9">
        <f>Table1[[#This Row],[Values]]</f>
        <v>125</v>
      </c>
      <c r="C2" s="9">
        <f>B2*(1+'Assumptions and Data'!$B$4)</f>
        <v>127.5</v>
      </c>
      <c r="D2" s="9">
        <f>C2*(1+'Assumptions and Data'!$B$4)</f>
        <v>130.05000000000001</v>
      </c>
      <c r="E2" s="9">
        <f>D2*(1+'Assumptions and Data'!$B$4)</f>
        <v>132.65100000000001</v>
      </c>
      <c r="F2" s="9">
        <f>E2*(1+'Assumptions and Data'!$B$4)</f>
        <v>135.30402000000001</v>
      </c>
      <c r="G2" s="9">
        <f>F2*(1+'Assumptions and Data'!$B$4)</f>
        <v>138.0101004</v>
      </c>
      <c r="H2" s="9">
        <f>G2*(1+'Assumptions and Data'!$B$4)</f>
        <v>140.77030240799999</v>
      </c>
      <c r="I2" s="9">
        <f>H2*(1+'Assumptions and Data'!$B$4)</f>
        <v>143.58570845616001</v>
      </c>
      <c r="J2" s="9">
        <f>I2*(1+'Assumptions and Data'!$B$4)</f>
        <v>146.45742262528321</v>
      </c>
      <c r="K2" s="9">
        <f>J2*(1+'Assumptions and Data'!$B$4)</f>
        <v>149.38657107778889</v>
      </c>
      <c r="L2" s="9">
        <f>K2*(1+'Assumptions and Data'!$B$4)</f>
        <v>152.37430249934468</v>
      </c>
      <c r="M2" s="4">
        <f>L2*(1+'Assumptions and Data'!$B$4)</f>
        <v>155.42178854933158</v>
      </c>
    </row>
    <row r="3" spans="1:13" s="10" customFormat="1" x14ac:dyDescent="0.3">
      <c r="A3" s="12" t="s">
        <v>28</v>
      </c>
      <c r="B3" s="11">
        <f>B2*'Assumptions and Data'!$B$3</f>
        <v>25000</v>
      </c>
      <c r="C3" s="11">
        <f>C2*'Assumptions and Data'!$B$3</f>
        <v>25500</v>
      </c>
      <c r="D3" s="11">
        <f>D2*'Assumptions and Data'!$B$3</f>
        <v>26010.000000000004</v>
      </c>
      <c r="E3" s="11">
        <f>E2*'Assumptions and Data'!$B$3</f>
        <v>26530.2</v>
      </c>
      <c r="F3" s="11">
        <f>F2*'Assumptions and Data'!$B$3</f>
        <v>27060.804</v>
      </c>
      <c r="G3" s="11">
        <f>G2*'Assumptions and Data'!$B$3</f>
        <v>27602.020079999998</v>
      </c>
      <c r="H3" s="11">
        <f>H2*'Assumptions and Data'!$B$3</f>
        <v>28154.060481599998</v>
      </c>
      <c r="I3" s="11">
        <f>I2*'Assumptions and Data'!$B$3</f>
        <v>28717.141691232002</v>
      </c>
      <c r="J3" s="11">
        <f>J2*'Assumptions and Data'!$B$3</f>
        <v>29291.484525056643</v>
      </c>
      <c r="K3" s="11">
        <f>K2*'Assumptions and Data'!$B$3</f>
        <v>29877.314215557777</v>
      </c>
      <c r="L3" s="11">
        <f>L2*'Assumptions and Data'!$B$3</f>
        <v>30474.860499868937</v>
      </c>
      <c r="M3" s="13">
        <f>M2*'Assumptions and Data'!$B$3</f>
        <v>31084.357709866315</v>
      </c>
    </row>
    <row r="4" spans="1:13" s="10" customFormat="1" x14ac:dyDescent="0.3">
      <c r="A4" s="12" t="s">
        <v>24</v>
      </c>
      <c r="B4" s="11">
        <f>B2*('Monthly P&amp;L Calculation'!B5+'Monthly P&amp;L Calculation'!B6+'Monthly P&amp;L Calculation'!B7)</f>
        <v>15000</v>
      </c>
      <c r="C4" s="11">
        <f>C2*('Monthly P&amp;L Calculation'!C5+'Monthly P&amp;L Calculation'!C6+'Monthly P&amp;L Calculation'!C7)</f>
        <v>15178.875</v>
      </c>
      <c r="D4" s="11">
        <f>D2*('Monthly P&amp;L Calculation'!D5+'Monthly P&amp;L Calculation'!D6+'Monthly P&amp;L Calculation'!D7)</f>
        <v>15361.603537500003</v>
      </c>
      <c r="E4" s="11">
        <f>E2*('Monthly P&amp;L Calculation'!E5+'Monthly P&amp;L Calculation'!E6+'Monthly P&amp;L Calculation'!E7)</f>
        <v>15548.292162461252</v>
      </c>
      <c r="F4" s="11">
        <f>F2*('Monthly P&amp;L Calculation'!F5+'Monthly P&amp;L Calculation'!F6+'Monthly P&amp;L Calculation'!F7)</f>
        <v>15739.050571487533</v>
      </c>
      <c r="G4" s="11">
        <f>G2*('Monthly P&amp;L Calculation'!G5+'Monthly P&amp;L Calculation'!G6+'Monthly P&amp;L Calculation'!G7)</f>
        <v>15933.991702274474</v>
      </c>
      <c r="H4" s="11">
        <f>H2*('Monthly P&amp;L Calculation'!H5+'Monthly P&amp;L Calculation'!H6+'Monthly P&amp;L Calculation'!H7)</f>
        <v>16133.231830906123</v>
      </c>
      <c r="I4" s="11">
        <f>I2*('Monthly P&amp;L Calculation'!I5+'Monthly P&amp;L Calculation'!I6+'Monthly P&amp;L Calculation'!I7)</f>
        <v>16336.890672084699</v>
      </c>
      <c r="J4" s="11">
        <f>J2*('Monthly P&amp;L Calculation'!J5+'Monthly P&amp;L Calculation'!J6+'Monthly P&amp;L Calculation'!J7)</f>
        <v>16545.09148238206</v>
      </c>
      <c r="K4" s="11">
        <f>K2*('Monthly P&amp;L Calculation'!K5+'Monthly P&amp;L Calculation'!K6+'Monthly P&amp;L Calculation'!K7)</f>
        <v>16757.961166604116</v>
      </c>
      <c r="L4" s="11">
        <f>L2*('Monthly P&amp;L Calculation'!L5+'Monthly P&amp;L Calculation'!L6+'Monthly P&amp;L Calculation'!L7)</f>
        <v>16975.630387362115</v>
      </c>
      <c r="M4" s="13">
        <f>M2*('Monthly P&amp;L Calculation'!M5+'Monthly P&amp;L Calculation'!M6+'Monthly P&amp;L Calculation'!M7)</f>
        <v>17198.233677947628</v>
      </c>
    </row>
    <row r="5" spans="1:13" x14ac:dyDescent="0.3">
      <c r="A5" s="3" t="s">
        <v>38</v>
      </c>
      <c r="B5" s="9">
        <f>'Assumptions and Data'!B5</f>
        <v>70</v>
      </c>
      <c r="C5" s="9">
        <f>B5*(1-'Assumptions and Data'!$B$6)</f>
        <v>68.95</v>
      </c>
      <c r="D5" s="9">
        <f>C5*(1-'Assumptions and Data'!$B$6)</f>
        <v>67.915750000000003</v>
      </c>
      <c r="E5" s="9">
        <f>D5*(1-'Assumptions and Data'!$B$6)</f>
        <v>66.897013749999999</v>
      </c>
      <c r="F5" s="9">
        <f>E5*(1-'Assumptions and Data'!$B$6)</f>
        <v>65.893558543750004</v>
      </c>
      <c r="G5" s="9">
        <f>F5*(1-'Assumptions and Data'!$B$6)</f>
        <v>64.905155165593754</v>
      </c>
      <c r="H5" s="9">
        <f>G5*(1-'Assumptions and Data'!$B$6)</f>
        <v>63.931577838109845</v>
      </c>
      <c r="I5" s="9">
        <f>H5*(1-'Assumptions and Data'!$B$6)</f>
        <v>62.972604170538197</v>
      </c>
      <c r="J5" s="9">
        <f>I5*(1-'Assumptions and Data'!$B$6)</f>
        <v>62.028015107980124</v>
      </c>
      <c r="K5" s="9">
        <f>J5*(1-'Assumptions and Data'!$B$6)</f>
        <v>61.097594881360422</v>
      </c>
      <c r="L5" s="9">
        <f>K5*(1-'Assumptions and Data'!$B$6)</f>
        <v>60.181130958140017</v>
      </c>
      <c r="M5" s="4">
        <f>L5*(1-'Assumptions and Data'!$B$6)</f>
        <v>59.278413993767913</v>
      </c>
    </row>
    <row r="6" spans="1:13" x14ac:dyDescent="0.3">
      <c r="A6" s="3" t="s">
        <v>39</v>
      </c>
      <c r="B6" s="9">
        <f>'Assumptions and Data'!B7</f>
        <v>30</v>
      </c>
      <c r="C6" s="9">
        <f>B6*(1+'Assumptions and Data'!$B$8)</f>
        <v>30.3</v>
      </c>
      <c r="D6" s="9">
        <f>C6*(1+'Assumptions and Data'!$B$8)</f>
        <v>30.603000000000002</v>
      </c>
      <c r="E6" s="9">
        <f>D6*(1+'Assumptions and Data'!$B$8)</f>
        <v>30.909030000000001</v>
      </c>
      <c r="F6" s="9">
        <f>E6*(1+'Assumptions and Data'!$B$8)</f>
        <v>31.218120300000002</v>
      </c>
      <c r="G6" s="9">
        <f>F6*(1+'Assumptions and Data'!$B$8)</f>
        <v>31.530301503000004</v>
      </c>
      <c r="H6" s="9">
        <f>G6*(1+'Assumptions and Data'!$B$8)</f>
        <v>31.845604518030004</v>
      </c>
      <c r="I6" s="9">
        <f>H6*(1+'Assumptions and Data'!$B$8)</f>
        <v>32.164060563210306</v>
      </c>
      <c r="J6" s="9">
        <f>I6*(1+'Assumptions and Data'!$B$8)</f>
        <v>32.485701168842411</v>
      </c>
      <c r="K6" s="9">
        <f>J6*(1+'Assumptions and Data'!$B$8)</f>
        <v>32.810558180530833</v>
      </c>
      <c r="L6" s="9">
        <f>K6*(1+'Assumptions and Data'!$B$8)</f>
        <v>33.138663762336144</v>
      </c>
      <c r="M6" s="4">
        <f>L6*(1+'Assumptions and Data'!$B$8)</f>
        <v>33.470050399959504</v>
      </c>
    </row>
    <row r="7" spans="1:13" x14ac:dyDescent="0.3">
      <c r="A7" s="3" t="s">
        <v>40</v>
      </c>
      <c r="B7" s="9">
        <f>'Assumptions and Data'!B9</f>
        <v>20</v>
      </c>
      <c r="C7" s="9">
        <f>B7*(1-'Assumptions and Data'!$B$10)</f>
        <v>19.8</v>
      </c>
      <c r="D7" s="9">
        <f>C7*(1-'Assumptions and Data'!$B$10)</f>
        <v>19.602</v>
      </c>
      <c r="E7" s="9">
        <f>D7*(1-'Assumptions and Data'!$B$10)</f>
        <v>19.40598</v>
      </c>
      <c r="F7" s="9">
        <f>E7*(1-'Assumptions and Data'!$B$10)</f>
        <v>19.211920199999998</v>
      </c>
      <c r="G7" s="9">
        <f>F7*(1-'Assumptions and Data'!$B$10)</f>
        <v>19.019800997999997</v>
      </c>
      <c r="H7" s="9">
        <f>G7*(1-'Assumptions and Data'!$B$10)</f>
        <v>18.829602988019996</v>
      </c>
      <c r="I7" s="9">
        <f>H7*(1-'Assumptions and Data'!$B$10)</f>
        <v>18.641306958139797</v>
      </c>
      <c r="J7" s="9">
        <f>I7*(1-'Assumptions and Data'!$B$10)</f>
        <v>18.454893888558399</v>
      </c>
      <c r="K7" s="9">
        <f>J7*(1-'Assumptions and Data'!$B$10)</f>
        <v>18.270344949672815</v>
      </c>
      <c r="L7" s="9">
        <f>K7*(1-'Assumptions and Data'!$B$10)</f>
        <v>18.087641500176087</v>
      </c>
      <c r="M7" s="4">
        <f>L7*(1-'Assumptions and Data'!$B$10)</f>
        <v>17.906765085174325</v>
      </c>
    </row>
    <row r="8" spans="1:13" s="10" customFormat="1" x14ac:dyDescent="0.3">
      <c r="A8" s="12" t="s">
        <v>25</v>
      </c>
      <c r="B8" s="11">
        <f t="shared" ref="B8:M8" si="0">B3-B4</f>
        <v>10000</v>
      </c>
      <c r="C8" s="11">
        <f t="shared" si="0"/>
        <v>10321.125</v>
      </c>
      <c r="D8" s="11">
        <f t="shared" si="0"/>
        <v>10648.396462500001</v>
      </c>
      <c r="E8" s="11">
        <f t="shared" si="0"/>
        <v>10981.907837538749</v>
      </c>
      <c r="F8" s="11">
        <f t="shared" si="0"/>
        <v>11321.753428512468</v>
      </c>
      <c r="G8" s="11">
        <f t="shared" si="0"/>
        <v>11668.028377725524</v>
      </c>
      <c r="H8" s="11">
        <f t="shared" si="0"/>
        <v>12020.828650693875</v>
      </c>
      <c r="I8" s="11">
        <f t="shared" si="0"/>
        <v>12380.251019147303</v>
      </c>
      <c r="J8" s="11">
        <f t="shared" si="0"/>
        <v>12746.393042674583</v>
      </c>
      <c r="K8" s="11">
        <f t="shared" si="0"/>
        <v>13119.353048953661</v>
      </c>
      <c r="L8" s="11">
        <f t="shared" si="0"/>
        <v>13499.230112506822</v>
      </c>
      <c r="M8" s="13">
        <f t="shared" si="0"/>
        <v>13886.124031918687</v>
      </c>
    </row>
    <row r="9" spans="1:13" s="10" customFormat="1" x14ac:dyDescent="0.3">
      <c r="A9" s="12" t="s">
        <v>45</v>
      </c>
      <c r="B9" s="11">
        <f>B8/B3</f>
        <v>0.4</v>
      </c>
      <c r="C9" s="11">
        <f t="shared" ref="C9:M9" si="1">C8/C3</f>
        <v>0.40475</v>
      </c>
      <c r="D9" s="11">
        <f t="shared" si="1"/>
        <v>0.40939624999999996</v>
      </c>
      <c r="E9" s="11">
        <f t="shared" si="1"/>
        <v>0.41393988124999997</v>
      </c>
      <c r="F9" s="11">
        <f t="shared" si="1"/>
        <v>0.41838200478124993</v>
      </c>
      <c r="G9" s="11">
        <f t="shared" si="1"/>
        <v>0.42272371166703121</v>
      </c>
      <c r="H9" s="11">
        <f t="shared" si="1"/>
        <v>0.42696607327920078</v>
      </c>
      <c r="I9" s="11">
        <f t="shared" si="1"/>
        <v>0.43111014154055854</v>
      </c>
      <c r="J9" s="11">
        <f t="shared" si="1"/>
        <v>0.43515694917309533</v>
      </c>
      <c r="K9" s="11">
        <f t="shared" si="1"/>
        <v>0.43910750994217962</v>
      </c>
      <c r="L9" s="11">
        <f t="shared" si="1"/>
        <v>0.44296281889673877</v>
      </c>
      <c r="M9" s="13">
        <f t="shared" si="1"/>
        <v>0.4467238526054913</v>
      </c>
    </row>
    <row r="10" spans="1:13" s="10" customFormat="1" x14ac:dyDescent="0.3">
      <c r="A10" s="12" t="s">
        <v>44</v>
      </c>
      <c r="B10" s="11">
        <f>B11+B12+B13+B16</f>
        <v>18800</v>
      </c>
      <c r="C10" s="11">
        <f t="shared" ref="C10:M10" si="2">C11+C12+C13+C16</f>
        <v>18860</v>
      </c>
      <c r="D10" s="11">
        <f t="shared" si="2"/>
        <v>19371.8</v>
      </c>
      <c r="E10" s="11">
        <f t="shared" si="2"/>
        <v>19435.454000000002</v>
      </c>
      <c r="F10" s="11">
        <f t="shared" si="2"/>
        <v>19501.017619999999</v>
      </c>
      <c r="G10" s="11">
        <f t="shared" si="2"/>
        <v>20032.048148600003</v>
      </c>
      <c r="H10" s="11">
        <f t="shared" si="2"/>
        <v>20101.604593058</v>
      </c>
      <c r="I10" s="11">
        <f t="shared" si="2"/>
        <v>20173.24773084974</v>
      </c>
      <c r="J10" s="11">
        <f t="shared" si="2"/>
        <v>20724.445162775235</v>
      </c>
      <c r="K10" s="11">
        <f t="shared" si="2"/>
        <v>20800.45136765849</v>
      </c>
      <c r="L10" s="11">
        <f t="shared" si="2"/>
        <v>20878.737758688247</v>
      </c>
      <c r="M10" s="13">
        <f t="shared" si="2"/>
        <v>21451.099891448896</v>
      </c>
    </row>
    <row r="11" spans="1:13" x14ac:dyDescent="0.3">
      <c r="A11" s="3" t="s">
        <v>36</v>
      </c>
      <c r="B11" s="9">
        <f>'Assumptions and Data'!B11</f>
        <v>2000</v>
      </c>
      <c r="C11" s="9">
        <f>B11*(1+'Assumptions and Data'!$B$12)</f>
        <v>2060</v>
      </c>
      <c r="D11" s="9">
        <f>C11*(1+'Assumptions and Data'!$B$12)</f>
        <v>2121.8000000000002</v>
      </c>
      <c r="E11" s="9">
        <f>D11*(1+'Assumptions and Data'!$B$12)</f>
        <v>2185.4540000000002</v>
      </c>
      <c r="F11" s="9">
        <f>E11*(1+'Assumptions and Data'!$B$12)</f>
        <v>2251.0176200000001</v>
      </c>
      <c r="G11" s="9">
        <f>F11*(1+'Assumptions and Data'!$B$12)</f>
        <v>2318.5481486000003</v>
      </c>
      <c r="H11" s="9">
        <f>G11*(1+'Assumptions and Data'!$B$12)</f>
        <v>2388.1045930580003</v>
      </c>
      <c r="I11" s="9">
        <f>H11*(1+'Assumptions and Data'!$B$12)</f>
        <v>2459.7477308497405</v>
      </c>
      <c r="J11" s="9">
        <f>I11*(1+'Assumptions and Data'!$B$12)</f>
        <v>2533.5401627752326</v>
      </c>
      <c r="K11" s="9">
        <f>J11*(1+'Assumptions and Data'!$B$12)</f>
        <v>2609.5463676584895</v>
      </c>
      <c r="L11" s="9">
        <f>K11*(1+'Assumptions and Data'!$B$12)</f>
        <v>2687.8327586882442</v>
      </c>
      <c r="M11" s="4">
        <f>L11*(1+'Assumptions and Data'!$B$12)</f>
        <v>2768.4677414488915</v>
      </c>
    </row>
    <row r="12" spans="1:13" x14ac:dyDescent="0.3">
      <c r="A12" s="3" t="s">
        <v>13</v>
      </c>
      <c r="B12" s="9">
        <f>'Assumptions and Data'!$B$13</f>
        <v>1500</v>
      </c>
      <c r="C12" s="9">
        <f>'Assumptions and Data'!$B$13</f>
        <v>1500</v>
      </c>
      <c r="D12" s="9">
        <f>'Assumptions and Data'!$B$13</f>
        <v>1500</v>
      </c>
      <c r="E12" s="9">
        <f>'Assumptions and Data'!$B$13</f>
        <v>1500</v>
      </c>
      <c r="F12" s="9">
        <f>'Assumptions and Data'!$B$13</f>
        <v>1500</v>
      </c>
      <c r="G12" s="9">
        <f>'Assumptions and Data'!$B$13</f>
        <v>1500</v>
      </c>
      <c r="H12" s="9">
        <f>'Assumptions and Data'!$B$13</f>
        <v>1500</v>
      </c>
      <c r="I12" s="9">
        <f>'Assumptions and Data'!$B$13</f>
        <v>1500</v>
      </c>
      <c r="J12" s="9">
        <f>'Assumptions and Data'!$B$13</f>
        <v>1500</v>
      </c>
      <c r="K12" s="9">
        <f>'Assumptions and Data'!$B$13</f>
        <v>1500</v>
      </c>
      <c r="L12" s="9">
        <f>'Assumptions and Data'!$B$13</f>
        <v>1500</v>
      </c>
      <c r="M12" s="4">
        <f>'Assumptions and Data'!$B$13</f>
        <v>1500</v>
      </c>
    </row>
    <row r="13" spans="1:13" x14ac:dyDescent="0.3">
      <c r="A13" s="3" t="s">
        <v>14</v>
      </c>
      <c r="B13" s="9">
        <f>'Assumptions and Data'!$B$14</f>
        <v>300</v>
      </c>
      <c r="C13" s="9">
        <f>'Assumptions and Data'!$B$14</f>
        <v>300</v>
      </c>
      <c r="D13" s="9">
        <f>'Assumptions and Data'!$B$14</f>
        <v>300</v>
      </c>
      <c r="E13" s="9">
        <f>'Assumptions and Data'!$B$14</f>
        <v>300</v>
      </c>
      <c r="F13" s="9">
        <f>'Assumptions and Data'!$B$14</f>
        <v>300</v>
      </c>
      <c r="G13" s="9">
        <f>'Assumptions and Data'!$B$14</f>
        <v>300</v>
      </c>
      <c r="H13" s="9">
        <f>'Assumptions and Data'!$B$14</f>
        <v>300</v>
      </c>
      <c r="I13" s="9">
        <f>'Assumptions and Data'!$B$14</f>
        <v>300</v>
      </c>
      <c r="J13" s="9">
        <f>'Assumptions and Data'!$B$14</f>
        <v>300</v>
      </c>
      <c r="K13" s="9">
        <f>'Assumptions and Data'!$B$14</f>
        <v>300</v>
      </c>
      <c r="L13" s="9">
        <f>'Assumptions and Data'!$B$14</f>
        <v>300</v>
      </c>
      <c r="M13" s="4">
        <f>'Assumptions and Data'!$B$14</f>
        <v>300</v>
      </c>
    </row>
    <row r="14" spans="1:13" x14ac:dyDescent="0.3">
      <c r="A14" s="3" t="s">
        <v>42</v>
      </c>
      <c r="B14" s="9">
        <v>5</v>
      </c>
      <c r="C14" s="9">
        <f>IF(C1='Assumptions and Data'!$A$17, B14 + 'Assumptions and Data'!$B$17, IF(C1='Assumptions and Data'!$A$18, B14 + 'Assumptions and Data'!$B$18, B14))</f>
        <v>5</v>
      </c>
      <c r="D14" s="9">
        <f>IF(D1='Assumptions and Data'!$A$17, C14 + 'Assumptions and Data'!$B$17, IF(D1='Assumptions and Data'!$A$18, C14 + 'Assumptions and Data'!$B$18, C14))</f>
        <v>5</v>
      </c>
      <c r="E14" s="9">
        <f>IF(E1='Assumptions and Data'!$A$17, D14 + 'Assumptions and Data'!$B$17, IF(E1='Assumptions and Data'!$A$18, D14 + 'Assumptions and Data'!$B$18, D14))</f>
        <v>5</v>
      </c>
      <c r="F14" s="9">
        <f>IF(F1='Assumptions and Data'!$A$17, E14 + 'Assumptions and Data'!$B$17, IF(F1='Assumptions and Data'!$A$18, E14 + 'Assumptions and Data'!$B$18, E14))</f>
        <v>5</v>
      </c>
      <c r="G14" s="9">
        <f>IF(G1='Assumptions and Data'!$A$17, F14 + 'Assumptions and Data'!$B$17, IF(G1='Assumptions and Data'!$A$18, F14 + 'Assumptions and Data'!$B$18, F14))</f>
        <v>5</v>
      </c>
      <c r="H14" s="9">
        <f>IF(H1='Assumptions and Data'!$A$17, G14 + 'Assumptions and Data'!$B$17, IF(H1='Assumptions and Data'!$A$18, G14 + 'Assumptions and Data'!$B$18, G14))</f>
        <v>5</v>
      </c>
      <c r="I14" s="9">
        <f>IF(I1='Assumptions and Data'!$A$17, H14 + 'Assumptions and Data'!$B$17, IF(I1='Assumptions and Data'!$A$18, H14 + 'Assumptions and Data'!$B$18, H14))</f>
        <v>5</v>
      </c>
      <c r="J14" s="9">
        <f>IF(J1='Assumptions and Data'!$A$17, I14 + 'Assumptions and Data'!$B$17, IF(J1='Assumptions and Data'!$A$18, I14 + 'Assumptions and Data'!$B$18, I14))</f>
        <v>5</v>
      </c>
      <c r="K14" s="9">
        <f>IF(K1='Assumptions and Data'!$A$17, J14 + 'Assumptions and Data'!$B$17, IF(K1='Assumptions and Data'!$A$18, J14 + 'Assumptions and Data'!$B$18, J14))</f>
        <v>5</v>
      </c>
      <c r="L14" s="9">
        <f>IF(L1='Assumptions and Data'!$A$17, K14 + 'Assumptions and Data'!$B$17, IF(L1='Assumptions and Data'!$A$18, K14 + 'Assumptions and Data'!$B$18, K14))</f>
        <v>5</v>
      </c>
      <c r="M14" s="4">
        <f>IF(M1='Assumptions and Data'!$A$17, L14 + 'Assumptions and Data'!$B$17, IF(M1='Assumptions and Data'!$A$18, L14 + 'Assumptions and Data'!$B$18, L14))</f>
        <v>5</v>
      </c>
    </row>
    <row r="15" spans="1:13" x14ac:dyDescent="0.3">
      <c r="A15" s="3" t="s">
        <v>43</v>
      </c>
      <c r="B15" s="9">
        <v>3000</v>
      </c>
      <c r="C15" s="9">
        <f>IF(MOD(C1, 'Assumptions and Data'!$B$19) = 0,B15*(1+'Assumptions and Data'!$B$20),B15)</f>
        <v>3000</v>
      </c>
      <c r="D15" s="9">
        <f>IF(MOD(D1, 'Assumptions and Data'!$B$19) = 0,C15*(1+'Assumptions and Data'!$B$20),C15)</f>
        <v>3090</v>
      </c>
      <c r="E15" s="9">
        <f>IF(MOD(E1, 'Assumptions and Data'!$B$19) = 0,D15*(1+'Assumptions and Data'!$B$20),D15)</f>
        <v>3090</v>
      </c>
      <c r="F15" s="9">
        <f>IF(MOD(F1, 'Assumptions and Data'!$B$19) = 0,E15*(1+'Assumptions and Data'!$B$20),E15)</f>
        <v>3090</v>
      </c>
      <c r="G15" s="9">
        <f>IF(MOD(G1, 'Assumptions and Data'!$B$19) = 0,F15*(1+'Assumptions and Data'!$B$20),F15)</f>
        <v>3182.7000000000003</v>
      </c>
      <c r="H15" s="9">
        <f>IF(MOD(H1, 'Assumptions and Data'!$B$19) = 0,G15*(1+'Assumptions and Data'!$B$20),G15)</f>
        <v>3182.7000000000003</v>
      </c>
      <c r="I15" s="9">
        <f>IF(MOD(I1, 'Assumptions and Data'!$B$19) = 0,H15*(1+'Assumptions and Data'!$B$20),H15)</f>
        <v>3182.7000000000003</v>
      </c>
      <c r="J15" s="9">
        <f>IF(MOD(J1, 'Assumptions and Data'!$B$19) = 0,I15*(1+'Assumptions and Data'!$B$20),I15)</f>
        <v>3278.1810000000005</v>
      </c>
      <c r="K15" s="9">
        <f>IF(MOD(K1, 'Assumptions and Data'!$B$19) = 0,J15*(1+'Assumptions and Data'!$B$20),J15)</f>
        <v>3278.1810000000005</v>
      </c>
      <c r="L15" s="9">
        <f>IF(MOD(L1, 'Assumptions and Data'!$B$19) = 0,K15*(1+'Assumptions and Data'!$B$20),K15)</f>
        <v>3278.1810000000005</v>
      </c>
      <c r="M15" s="4">
        <f>IF(MOD(M1, 'Assumptions and Data'!$B$19) = 0,L15*(1+'Assumptions and Data'!$B$20),L15)</f>
        <v>3376.5264300000008</v>
      </c>
    </row>
    <row r="16" spans="1:13" x14ac:dyDescent="0.3">
      <c r="A16" s="3" t="s">
        <v>37</v>
      </c>
      <c r="B16" s="9">
        <f>B14*B15</f>
        <v>15000</v>
      </c>
      <c r="C16" s="9">
        <f t="shared" ref="C16:M16" si="3">C14*C15</f>
        <v>15000</v>
      </c>
      <c r="D16" s="9">
        <f t="shared" si="3"/>
        <v>15450</v>
      </c>
      <c r="E16" s="9">
        <f t="shared" si="3"/>
        <v>15450</v>
      </c>
      <c r="F16" s="9">
        <f t="shared" si="3"/>
        <v>15450</v>
      </c>
      <c r="G16" s="9">
        <f t="shared" si="3"/>
        <v>15913.500000000002</v>
      </c>
      <c r="H16" s="9">
        <f t="shared" si="3"/>
        <v>15913.500000000002</v>
      </c>
      <c r="I16" s="9">
        <f t="shared" si="3"/>
        <v>15913.500000000002</v>
      </c>
      <c r="J16" s="9">
        <f t="shared" si="3"/>
        <v>16390.905000000002</v>
      </c>
      <c r="K16" s="9">
        <f t="shared" si="3"/>
        <v>16390.905000000002</v>
      </c>
      <c r="L16" s="9">
        <f t="shared" si="3"/>
        <v>16390.905000000002</v>
      </c>
      <c r="M16" s="4">
        <f t="shared" si="3"/>
        <v>16882.632150000005</v>
      </c>
    </row>
    <row r="17" spans="1:13" s="10" customFormat="1" x14ac:dyDescent="0.3">
      <c r="A17" s="12" t="s">
        <v>26</v>
      </c>
      <c r="B17" s="11">
        <f>B8-B10</f>
        <v>-8800</v>
      </c>
      <c r="C17" s="11">
        <f t="shared" ref="C17:M17" si="4">C8-C10</f>
        <v>-8538.875</v>
      </c>
      <c r="D17" s="11">
        <f t="shared" si="4"/>
        <v>-8723.4035374999985</v>
      </c>
      <c r="E17" s="11">
        <f t="shared" si="4"/>
        <v>-8453.5461624612526</v>
      </c>
      <c r="F17" s="11">
        <f t="shared" si="4"/>
        <v>-8179.2641914875312</v>
      </c>
      <c r="G17" s="11">
        <f t="shared" si="4"/>
        <v>-8364.0197708744781</v>
      </c>
      <c r="H17" s="11">
        <f t="shared" si="4"/>
        <v>-8080.7759423641255</v>
      </c>
      <c r="I17" s="11">
        <f t="shared" si="4"/>
        <v>-7792.9967117024371</v>
      </c>
      <c r="J17" s="11">
        <f t="shared" si="4"/>
        <v>-7978.0521201006522</v>
      </c>
      <c r="K17" s="11">
        <f t="shared" si="4"/>
        <v>-7681.0983187048296</v>
      </c>
      <c r="L17" s="11">
        <f t="shared" si="4"/>
        <v>-7379.5076461814242</v>
      </c>
      <c r="M17" s="13">
        <f t="shared" si="4"/>
        <v>-7564.9758595302083</v>
      </c>
    </row>
    <row r="18" spans="1:13" x14ac:dyDescent="0.3">
      <c r="A18" s="3" t="s">
        <v>34</v>
      </c>
      <c r="B18" s="9">
        <f>'Assumptions and Data'!B21</f>
        <v>120</v>
      </c>
      <c r="C18" s="9">
        <f>B18*(1+'Assumptions and Data'!$B$22)</f>
        <v>122.4</v>
      </c>
      <c r="D18" s="9">
        <f>C18*(1+'Assumptions and Data'!$B$22)</f>
        <v>124.84800000000001</v>
      </c>
      <c r="E18" s="9">
        <f>D18*(1+'Assumptions and Data'!$B$22)</f>
        <v>127.34496000000001</v>
      </c>
      <c r="F18" s="9">
        <f>E18*(1+'Assumptions and Data'!$B$22)</f>
        <v>129.89185920000003</v>
      </c>
      <c r="G18" s="9">
        <f>F18*(1+'Assumptions and Data'!$B$22)</f>
        <v>132.48969638400004</v>
      </c>
      <c r="H18" s="9">
        <f>G18*(1+'Assumptions and Data'!$B$22)</f>
        <v>135.13949031168005</v>
      </c>
      <c r="I18" s="9">
        <f>H18*(1+'Assumptions and Data'!$B$22)</f>
        <v>137.84228011791365</v>
      </c>
      <c r="J18" s="9">
        <f>I18*(1+'Assumptions and Data'!$B$22)</f>
        <v>140.59912572027193</v>
      </c>
      <c r="K18" s="9">
        <f>J18*(1+'Assumptions and Data'!$B$22)</f>
        <v>143.41110823467736</v>
      </c>
      <c r="L18" s="9">
        <f>K18*(1+'Assumptions and Data'!$B$22)</f>
        <v>146.27933039937091</v>
      </c>
      <c r="M18" s="4">
        <f>L18*(1+'Assumptions and Data'!$B$22)</f>
        <v>149.20491700735832</v>
      </c>
    </row>
    <row r="19" spans="1:13" x14ac:dyDescent="0.3">
      <c r="A19" s="3" t="s">
        <v>35</v>
      </c>
      <c r="B19" s="9">
        <f>'Assumptions and Data'!B23</f>
        <v>70</v>
      </c>
      <c r="C19" s="9">
        <f>B19*(1+'Assumptions and Data'!$B$24)</f>
        <v>72.8</v>
      </c>
      <c r="D19" s="9">
        <f>C19*(1+'Assumptions and Data'!$B$24)</f>
        <v>75.712000000000003</v>
      </c>
      <c r="E19" s="9">
        <f>D19*(1+'Assumptions and Data'!$B$24)</f>
        <v>78.740480000000005</v>
      </c>
      <c r="F19" s="9">
        <f>E19*(1+'Assumptions and Data'!$B$24)</f>
        <v>81.890099200000009</v>
      </c>
      <c r="G19" s="9">
        <f>F19*(1+'Assumptions and Data'!$B$24)</f>
        <v>85.165703168000007</v>
      </c>
      <c r="H19" s="9">
        <f>G19*(1+'Assumptions and Data'!$B$24)</f>
        <v>88.572331294720016</v>
      </c>
      <c r="I19" s="9">
        <f>H19*(1+'Assumptions and Data'!$B$24)</f>
        <v>92.115224546508813</v>
      </c>
      <c r="J19" s="9">
        <f>I19*(1+'Assumptions and Data'!$B$24)</f>
        <v>95.799833528369163</v>
      </c>
      <c r="K19" s="9">
        <f>J19*(1+'Assumptions and Data'!$B$24)</f>
        <v>99.631826869503939</v>
      </c>
      <c r="L19" s="9">
        <f>K19*(1+'Assumptions and Data'!$B$24)</f>
        <v>103.61709994428411</v>
      </c>
      <c r="M19" s="4">
        <f>L19*(1+'Assumptions and Data'!$B$24)</f>
        <v>107.76178394205547</v>
      </c>
    </row>
    <row r="20" spans="1:13" x14ac:dyDescent="0.3">
      <c r="A20" s="3" t="s">
        <v>30</v>
      </c>
      <c r="B20" s="9">
        <f>B17-B18-B19</f>
        <v>-8990</v>
      </c>
      <c r="C20" s="9">
        <f t="shared" ref="C20:M20" si="5">C17-C18-C19</f>
        <v>-8734.0749999999989</v>
      </c>
      <c r="D20" s="9">
        <f t="shared" si="5"/>
        <v>-8923.963537499998</v>
      </c>
      <c r="E20" s="9">
        <f t="shared" si="5"/>
        <v>-8659.6316024612534</v>
      </c>
      <c r="F20" s="9">
        <f t="shared" si="5"/>
        <v>-8391.046149887532</v>
      </c>
      <c r="G20" s="9">
        <f t="shared" si="5"/>
        <v>-8581.6751704264789</v>
      </c>
      <c r="H20" s="9">
        <f t="shared" si="5"/>
        <v>-8304.4877639705246</v>
      </c>
      <c r="I20" s="9">
        <f t="shared" si="5"/>
        <v>-8022.9542163668602</v>
      </c>
      <c r="J20" s="9">
        <f t="shared" si="5"/>
        <v>-8214.4510793492937</v>
      </c>
      <c r="K20" s="9">
        <f t="shared" si="5"/>
        <v>-7924.1412538090108</v>
      </c>
      <c r="L20" s="9">
        <f t="shared" si="5"/>
        <v>-7629.4040765250793</v>
      </c>
      <c r="M20" s="4">
        <f t="shared" si="5"/>
        <v>-7821.9425604796224</v>
      </c>
    </row>
    <row r="21" spans="1:13" x14ac:dyDescent="0.3">
      <c r="A21" s="3" t="s">
        <v>33</v>
      </c>
      <c r="B21" s="9">
        <f>'Assumptions and Data'!$B$25</f>
        <v>100</v>
      </c>
      <c r="C21" s="9">
        <f>'Assumptions and Data'!$B$25</f>
        <v>100</v>
      </c>
      <c r="D21" s="9">
        <f>'Assumptions and Data'!$B$25</f>
        <v>100</v>
      </c>
      <c r="E21" s="9">
        <f>'Assumptions and Data'!$B$25</f>
        <v>100</v>
      </c>
      <c r="F21" s="9">
        <f>'Assumptions and Data'!$B$25</f>
        <v>100</v>
      </c>
      <c r="G21" s="9">
        <f>'Assumptions and Data'!$B$25</f>
        <v>100</v>
      </c>
      <c r="H21" s="9">
        <f>'Assumptions and Data'!$B$25</f>
        <v>100</v>
      </c>
      <c r="I21" s="9">
        <f>'Assumptions and Data'!$B$25</f>
        <v>100</v>
      </c>
      <c r="J21" s="9">
        <f>'Assumptions and Data'!$B$25</f>
        <v>100</v>
      </c>
      <c r="K21" s="9">
        <f>'Assumptions and Data'!$B$25</f>
        <v>100</v>
      </c>
      <c r="L21" s="9">
        <f>'Assumptions and Data'!$B$25</f>
        <v>100</v>
      </c>
      <c r="M21" s="4">
        <f>'Assumptions and Data'!$B$25</f>
        <v>100</v>
      </c>
    </row>
    <row r="22" spans="1:13" x14ac:dyDescent="0.3">
      <c r="A22" s="3" t="s">
        <v>31</v>
      </c>
      <c r="B22" s="9">
        <f>B20-B21</f>
        <v>-9090</v>
      </c>
      <c r="C22" s="9">
        <f t="shared" ref="C22:M22" si="6">C20-C21</f>
        <v>-8834.0749999999989</v>
      </c>
      <c r="D22" s="9">
        <f t="shared" si="6"/>
        <v>-9023.963537499998</v>
      </c>
      <c r="E22" s="9">
        <f t="shared" si="6"/>
        <v>-8759.6316024612534</v>
      </c>
      <c r="F22" s="9">
        <f t="shared" si="6"/>
        <v>-8491.046149887532</v>
      </c>
      <c r="G22" s="9">
        <f t="shared" si="6"/>
        <v>-8681.6751704264789</v>
      </c>
      <c r="H22" s="9">
        <f t="shared" si="6"/>
        <v>-8404.4877639705246</v>
      </c>
      <c r="I22" s="9">
        <f t="shared" si="6"/>
        <v>-8122.9542163668602</v>
      </c>
      <c r="J22" s="9">
        <f t="shared" si="6"/>
        <v>-8314.4510793492937</v>
      </c>
      <c r="K22" s="9">
        <f t="shared" si="6"/>
        <v>-8024.1412538090108</v>
      </c>
      <c r="L22" s="9">
        <f t="shared" si="6"/>
        <v>-7729.4040765250793</v>
      </c>
      <c r="M22" s="4">
        <f t="shared" si="6"/>
        <v>-7921.9425604796224</v>
      </c>
    </row>
    <row r="23" spans="1:13" x14ac:dyDescent="0.3">
      <c r="A23" s="3" t="s">
        <v>32</v>
      </c>
      <c r="B23" s="9">
        <f>IF(B20&gt;0,B20*'Assumptions and Data'!B26,0)</f>
        <v>0</v>
      </c>
      <c r="C23" s="9">
        <f>IF(C20&gt;0,C20*'Assumptions and Data'!C26,0)</f>
        <v>0</v>
      </c>
      <c r="D23" s="9">
        <f>IF(D20&gt;0,D20*'Assumptions and Data'!D26,0)</f>
        <v>0</v>
      </c>
      <c r="E23" s="9">
        <f>IF(E20&gt;0,E20*'Assumptions and Data'!E26,0)</f>
        <v>0</v>
      </c>
      <c r="F23" s="9">
        <f>IF(F20&gt;0,F20*'Assumptions and Data'!F26,0)</f>
        <v>0</v>
      </c>
      <c r="G23" s="9">
        <f>IF(G20&gt;0,G20*'Assumptions and Data'!G26,0)</f>
        <v>0</v>
      </c>
      <c r="H23" s="9">
        <f>IF(H20&gt;0,H20*'Assumptions and Data'!H26,0)</f>
        <v>0</v>
      </c>
      <c r="I23" s="9">
        <f>IF(I20&gt;0,I20*'Assumptions and Data'!I26,0)</f>
        <v>0</v>
      </c>
      <c r="J23" s="9">
        <f>IF(J20&gt;0,J20*'Assumptions and Data'!J26,0)</f>
        <v>0</v>
      </c>
      <c r="K23" s="9">
        <f>IF(K20&gt;0,K20*'Assumptions and Data'!K26,0)</f>
        <v>0</v>
      </c>
      <c r="L23" s="9">
        <f>IF(L20&gt;0,L20*'Assumptions and Data'!L26,0)</f>
        <v>0</v>
      </c>
      <c r="M23" s="4">
        <f>IF(M20&gt;0,M20*'Assumptions and Data'!M26,0)</f>
        <v>0</v>
      </c>
    </row>
    <row r="24" spans="1:13" s="10" customFormat="1" x14ac:dyDescent="0.3">
      <c r="A24" s="15" t="s">
        <v>27</v>
      </c>
      <c r="B24" s="16">
        <f>B22-B23</f>
        <v>-9090</v>
      </c>
      <c r="C24" s="16">
        <f t="shared" ref="C24:M24" si="7">C22-C23</f>
        <v>-8834.0749999999989</v>
      </c>
      <c r="D24" s="16">
        <f t="shared" si="7"/>
        <v>-9023.963537499998</v>
      </c>
      <c r="E24" s="16">
        <f t="shared" si="7"/>
        <v>-8759.6316024612534</v>
      </c>
      <c r="F24" s="16">
        <f t="shared" si="7"/>
        <v>-8491.046149887532</v>
      </c>
      <c r="G24" s="16">
        <f t="shared" si="7"/>
        <v>-8681.6751704264789</v>
      </c>
      <c r="H24" s="16">
        <f t="shared" si="7"/>
        <v>-8404.4877639705246</v>
      </c>
      <c r="I24" s="16">
        <f t="shared" si="7"/>
        <v>-8122.9542163668602</v>
      </c>
      <c r="J24" s="16">
        <f t="shared" si="7"/>
        <v>-8314.4510793492937</v>
      </c>
      <c r="K24" s="16">
        <f t="shared" si="7"/>
        <v>-8024.1412538090108</v>
      </c>
      <c r="L24" s="16">
        <f t="shared" si="7"/>
        <v>-7729.4040765250793</v>
      </c>
      <c r="M24" s="17">
        <f t="shared" si="7"/>
        <v>-7921.9425604796224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5C138-A714-4ACD-B872-1B16B468FF5B}">
  <dimension ref="A3:M10"/>
  <sheetViews>
    <sheetView topLeftCell="B1" workbookViewId="0">
      <selection activeCell="M22" sqref="M22"/>
    </sheetView>
  </sheetViews>
  <sheetFormatPr defaultRowHeight="14.4" x14ac:dyDescent="0.3"/>
  <cols>
    <col min="1" max="1" width="12.5546875" bestFit="1" customWidth="1"/>
    <col min="2" max="2" width="8.21875" bestFit="1" customWidth="1"/>
    <col min="3" max="3" width="10" bestFit="1" customWidth="1"/>
    <col min="4" max="12" width="12.6640625" bestFit="1" customWidth="1"/>
    <col min="13" max="13" width="12" bestFit="1" customWidth="1"/>
    <col min="14" max="14" width="4" bestFit="1" customWidth="1"/>
    <col min="15" max="17" width="5" bestFit="1" customWidth="1"/>
    <col min="18" max="21" width="6" bestFit="1" customWidth="1"/>
    <col min="22" max="22" width="10.77734375" bestFit="1" customWidth="1"/>
    <col min="23" max="23" width="9.44140625" bestFit="1" customWidth="1"/>
    <col min="24" max="24" width="12.109375" bestFit="1" customWidth="1"/>
    <col min="25" max="25" width="11.88671875" bestFit="1" customWidth="1"/>
    <col min="26" max="26" width="14.6640625" bestFit="1" customWidth="1"/>
    <col min="27" max="27" width="19.21875" bestFit="1" customWidth="1"/>
    <col min="28" max="28" width="22" bestFit="1" customWidth="1"/>
    <col min="29" max="29" width="14.109375" bestFit="1" customWidth="1"/>
    <col min="30" max="30" width="16.88671875" bestFit="1" customWidth="1"/>
    <col min="31" max="31" width="11.109375" bestFit="1" customWidth="1"/>
    <col min="32" max="32" width="13.88671875" bestFit="1" customWidth="1"/>
    <col min="33" max="33" width="15.44140625" bestFit="1" customWidth="1"/>
    <col min="34" max="34" width="18.21875" bestFit="1" customWidth="1"/>
    <col min="35" max="35" width="6.88671875" bestFit="1" customWidth="1"/>
    <col min="36" max="36" width="9.5546875" bestFit="1" customWidth="1"/>
    <col min="37" max="37" width="10.33203125" bestFit="1" customWidth="1"/>
    <col min="38" max="38" width="13.109375" bestFit="1" customWidth="1"/>
    <col min="39" max="39" width="9.33203125" bestFit="1" customWidth="1"/>
    <col min="40" max="40" width="12" bestFit="1" customWidth="1"/>
    <col min="41" max="41" width="5.88671875" bestFit="1" customWidth="1"/>
    <col min="42" max="42" width="8.5546875" bestFit="1" customWidth="1"/>
    <col min="43" max="43" width="11.21875" bestFit="1" customWidth="1"/>
    <col min="44" max="44" width="14" bestFit="1" customWidth="1"/>
    <col min="45" max="45" width="9.21875" bestFit="1" customWidth="1"/>
    <col min="46" max="46" width="11.88671875" bestFit="1" customWidth="1"/>
    <col min="47" max="47" width="10.77734375" bestFit="1" customWidth="1"/>
  </cols>
  <sheetData>
    <row r="3" spans="1:13" x14ac:dyDescent="0.3">
      <c r="A3" s="18" t="s">
        <v>58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</row>
    <row r="4" spans="1:13" x14ac:dyDescent="0.3">
      <c r="A4" s="19" t="s">
        <v>24</v>
      </c>
      <c r="B4" s="20">
        <v>15000</v>
      </c>
      <c r="C4" s="20">
        <v>15178.875</v>
      </c>
      <c r="D4" s="20">
        <v>15361.603537500003</v>
      </c>
      <c r="E4" s="20">
        <v>15548.292162461252</v>
      </c>
      <c r="F4" s="20">
        <v>15739.050571487533</v>
      </c>
      <c r="G4" s="20">
        <v>15933.991702274474</v>
      </c>
      <c r="H4" s="20">
        <v>16133.231830906123</v>
      </c>
      <c r="I4" s="20">
        <v>16336.890672084699</v>
      </c>
      <c r="J4" s="20">
        <v>16545.09148238206</v>
      </c>
      <c r="K4" s="20">
        <v>16757.961166604116</v>
      </c>
      <c r="L4" s="20">
        <v>16975.630387362115</v>
      </c>
      <c r="M4" s="20">
        <v>17198.233677947628</v>
      </c>
    </row>
    <row r="5" spans="1:13" x14ac:dyDescent="0.3">
      <c r="A5" s="19" t="s">
        <v>26</v>
      </c>
      <c r="B5" s="20">
        <v>-8800</v>
      </c>
      <c r="C5" s="20">
        <v>-8538.875</v>
      </c>
      <c r="D5" s="20">
        <v>-8723.4035374999985</v>
      </c>
      <c r="E5" s="20">
        <v>-8453.5461624612526</v>
      </c>
      <c r="F5" s="20">
        <v>-8179.2641914875312</v>
      </c>
      <c r="G5" s="20">
        <v>-8364.0197708744781</v>
      </c>
      <c r="H5" s="20">
        <v>-8080.7759423641255</v>
      </c>
      <c r="I5" s="20">
        <v>-7792.9967117024371</v>
      </c>
      <c r="J5" s="20">
        <v>-7978.0521201006522</v>
      </c>
      <c r="K5" s="20">
        <v>-7681.0983187048296</v>
      </c>
      <c r="L5" s="20">
        <v>-7379.5076461814242</v>
      </c>
      <c r="M5" s="20">
        <v>-7564.9758595302083</v>
      </c>
    </row>
    <row r="6" spans="1:13" x14ac:dyDescent="0.3">
      <c r="A6" s="19" t="s">
        <v>44</v>
      </c>
      <c r="B6" s="20">
        <v>18800</v>
      </c>
      <c r="C6" s="20">
        <v>18860</v>
      </c>
      <c r="D6" s="20">
        <v>19371.8</v>
      </c>
      <c r="E6" s="20">
        <v>19435.454000000002</v>
      </c>
      <c r="F6" s="20">
        <v>19501.017619999999</v>
      </c>
      <c r="G6" s="20">
        <v>20032.048148600003</v>
      </c>
      <c r="H6" s="20">
        <v>20101.604593058</v>
      </c>
      <c r="I6" s="20">
        <v>20173.24773084974</v>
      </c>
      <c r="J6" s="20">
        <v>20724.445162775235</v>
      </c>
      <c r="K6" s="20">
        <v>20800.45136765849</v>
      </c>
      <c r="L6" s="20">
        <v>20878.737758688247</v>
      </c>
      <c r="M6" s="20">
        <v>21451.099891448896</v>
      </c>
    </row>
    <row r="7" spans="1:13" x14ac:dyDescent="0.3">
      <c r="A7" s="19" t="s">
        <v>45</v>
      </c>
      <c r="B7" s="20">
        <v>0.4</v>
      </c>
      <c r="C7" s="20">
        <v>0.40475</v>
      </c>
      <c r="D7" s="20">
        <v>0.40939624999999996</v>
      </c>
      <c r="E7" s="20">
        <v>0.41393988124999997</v>
      </c>
      <c r="F7" s="20">
        <v>0.41838200478124993</v>
      </c>
      <c r="G7" s="20">
        <v>0.42272371166703121</v>
      </c>
      <c r="H7" s="20">
        <v>0.42696607327920078</v>
      </c>
      <c r="I7" s="20">
        <v>0.43111014154055854</v>
      </c>
      <c r="J7" s="20">
        <v>0.43515694917309533</v>
      </c>
      <c r="K7" s="20">
        <v>0.43910750994217962</v>
      </c>
      <c r="L7" s="20">
        <v>0.44296281889673877</v>
      </c>
      <c r="M7" s="20">
        <v>0.4467238526054913</v>
      </c>
    </row>
    <row r="8" spans="1:13" x14ac:dyDescent="0.3">
      <c r="A8" s="19" t="s">
        <v>25</v>
      </c>
      <c r="B8" s="20">
        <v>10000</v>
      </c>
      <c r="C8" s="20">
        <v>10321.125</v>
      </c>
      <c r="D8" s="20">
        <v>10648.396462500001</v>
      </c>
      <c r="E8" s="20">
        <v>10981.907837538749</v>
      </c>
      <c r="F8" s="20">
        <v>11321.753428512468</v>
      </c>
      <c r="G8" s="20">
        <v>11668.028377725524</v>
      </c>
      <c r="H8" s="20">
        <v>12020.828650693875</v>
      </c>
      <c r="I8" s="20">
        <v>12380.251019147303</v>
      </c>
      <c r="J8" s="20">
        <v>12746.393042674583</v>
      </c>
      <c r="K8" s="20">
        <v>13119.353048953661</v>
      </c>
      <c r="L8" s="20">
        <v>13499.230112506822</v>
      </c>
      <c r="M8" s="20">
        <v>13886.124031918687</v>
      </c>
    </row>
    <row r="9" spans="1:13" x14ac:dyDescent="0.3">
      <c r="A9" s="19" t="s">
        <v>27</v>
      </c>
      <c r="B9" s="20">
        <v>-9090</v>
      </c>
      <c r="C9" s="20">
        <v>-8834.0749999999989</v>
      </c>
      <c r="D9" s="20">
        <v>-9023.963537499998</v>
      </c>
      <c r="E9" s="20">
        <v>-8759.6316024612534</v>
      </c>
      <c r="F9" s="20">
        <v>-8491.046149887532</v>
      </c>
      <c r="G9" s="20">
        <v>-8681.6751704264789</v>
      </c>
      <c r="H9" s="20">
        <v>-8404.4877639705246</v>
      </c>
      <c r="I9" s="20">
        <v>-8122.9542163668602</v>
      </c>
      <c r="J9" s="20">
        <v>-8314.4510793492937</v>
      </c>
      <c r="K9" s="20">
        <v>-8024.1412538090108</v>
      </c>
      <c r="L9" s="20">
        <v>-7729.4040765250793</v>
      </c>
      <c r="M9" s="20">
        <v>-7921.9425604796224</v>
      </c>
    </row>
    <row r="10" spans="1:13" x14ac:dyDescent="0.3">
      <c r="A10" s="19" t="s">
        <v>28</v>
      </c>
      <c r="B10" s="20">
        <v>25000</v>
      </c>
      <c r="C10" s="20">
        <v>25500</v>
      </c>
      <c r="D10" s="20">
        <v>26010.000000000004</v>
      </c>
      <c r="E10" s="20">
        <v>26530.2</v>
      </c>
      <c r="F10" s="20">
        <v>27060.804</v>
      </c>
      <c r="G10" s="20">
        <v>27602.020079999998</v>
      </c>
      <c r="H10" s="20">
        <v>28154.060481599998</v>
      </c>
      <c r="I10" s="20">
        <v>28717.141691232002</v>
      </c>
      <c r="J10" s="20">
        <v>29291.484525056643</v>
      </c>
      <c r="K10" s="20">
        <v>29877.314215557777</v>
      </c>
      <c r="L10" s="20">
        <v>30474.860499868937</v>
      </c>
      <c r="M10" s="20">
        <v>31084.357709866315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Assumptions and Data</vt:lpstr>
      <vt:lpstr>Monthly P&amp;L Calculation</vt:lpstr>
      <vt:lpstr>Pivot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Nithish</dc:creator>
  <cp:lastModifiedBy>Akash Nithish</cp:lastModifiedBy>
  <dcterms:created xsi:type="dcterms:W3CDTF">2024-06-21T16:00:44Z</dcterms:created>
  <dcterms:modified xsi:type="dcterms:W3CDTF">2024-06-26T04:07:45Z</dcterms:modified>
</cp:coreProperties>
</file>