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stockar_1_osu_edu/Documents/BuckeyeBox Data/The Ohio State University/Projects/DistrictHeatingNetwork/Layout Optimization/"/>
    </mc:Choice>
  </mc:AlternateContent>
  <xr:revisionPtr revIDLastSave="402" documentId="8_{8C1A69BD-919F-43DF-9DC8-C8FFFD38E065}" xr6:coauthVersionLast="47" xr6:coauthVersionMax="47" xr10:uidLastSave="{C3F316D2-E034-4D65-AECC-9F32C3694150}"/>
  <bookViews>
    <workbookView xWindow="28695" yWindow="-6180" windowWidth="14610" windowHeight="15585" activeTab="2" xr2:uid="{3C9D44ED-1B1B-44DE-A845-C6CCAD3227F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4" l="1"/>
  <c r="M25" i="4"/>
  <c r="M24" i="4"/>
  <c r="M23" i="4"/>
  <c r="M22" i="4"/>
  <c r="M21" i="4"/>
  <c r="K2" i="4"/>
  <c r="K3" i="4"/>
  <c r="K15" i="4"/>
  <c r="K16" i="4"/>
  <c r="K1" i="4"/>
  <c r="H16" i="4"/>
  <c r="H15" i="4"/>
  <c r="H3" i="4"/>
  <c r="H2" i="4"/>
  <c r="H1" i="4"/>
  <c r="G10" i="4"/>
  <c r="G9" i="4"/>
  <c r="G8" i="4"/>
  <c r="G7" i="4"/>
  <c r="G6" i="4"/>
  <c r="H6" i="4" s="1"/>
  <c r="G5" i="4"/>
  <c r="G4" i="4"/>
  <c r="H4" i="4" s="1"/>
  <c r="F16" i="4"/>
  <c r="F15" i="4"/>
  <c r="F14" i="4"/>
  <c r="F13" i="4"/>
  <c r="F12" i="4"/>
  <c r="F11" i="4"/>
  <c r="F3" i="4"/>
  <c r="F2" i="4"/>
  <c r="F1" i="4"/>
  <c r="N1" i="3"/>
  <c r="O1" i="3" s="1"/>
  <c r="M1" i="3"/>
  <c r="N2" i="3"/>
  <c r="M2" i="3"/>
  <c r="O2" i="3"/>
  <c r="L15" i="3"/>
  <c r="L14" i="3"/>
  <c r="N4" i="3"/>
  <c r="O4" i="3"/>
  <c r="O5" i="3"/>
  <c r="O3" i="3"/>
  <c r="M4" i="3"/>
  <c r="M6" i="3"/>
  <c r="M5" i="3"/>
  <c r="M3" i="3"/>
  <c r="N5" i="3"/>
  <c r="N3" i="3"/>
  <c r="E2" i="3"/>
  <c r="D6" i="3" s="1"/>
  <c r="N6" i="3" s="1"/>
  <c r="E1" i="3"/>
  <c r="D3" i="3" s="1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8" i="2"/>
  <c r="H46" i="2"/>
  <c r="H43" i="2"/>
  <c r="H40" i="2"/>
  <c r="H37" i="2"/>
  <c r="H36" i="2"/>
  <c r="H35" i="2"/>
  <c r="H34" i="2"/>
  <c r="H33" i="2"/>
  <c r="H32" i="2"/>
  <c r="H31" i="2"/>
  <c r="H49" i="2"/>
  <c r="H47" i="2"/>
  <c r="H48" i="2"/>
  <c r="H45" i="2"/>
  <c r="H44" i="2"/>
  <c r="H42" i="2"/>
  <c r="H41" i="2"/>
  <c r="H39" i="2"/>
  <c r="H38" i="2"/>
  <c r="H30" i="2"/>
  <c r="H29" i="2"/>
  <c r="H28" i="2"/>
  <c r="G43" i="2"/>
  <c r="J43" i="2" s="1"/>
  <c r="K43" i="2" s="1"/>
  <c r="F46" i="2"/>
  <c r="F43" i="2"/>
  <c r="F40" i="2"/>
  <c r="F37" i="2"/>
  <c r="F36" i="2"/>
  <c r="F35" i="2"/>
  <c r="F34" i="2"/>
  <c r="F33" i="2"/>
  <c r="F32" i="2"/>
  <c r="F31" i="2"/>
  <c r="F49" i="2"/>
  <c r="F48" i="2"/>
  <c r="F47" i="2"/>
  <c r="F45" i="2"/>
  <c r="F44" i="2"/>
  <c r="F42" i="2"/>
  <c r="F41" i="2"/>
  <c r="F39" i="2"/>
  <c r="F38" i="2"/>
  <c r="F30" i="2"/>
  <c r="F29" i="2"/>
  <c r="F28" i="2"/>
  <c r="E49" i="2"/>
  <c r="G49" i="2" s="1"/>
  <c r="J49" i="2" s="1"/>
  <c r="K49" i="2" s="1"/>
  <c r="L49" i="2" s="1"/>
  <c r="E48" i="2"/>
  <c r="G48" i="2" s="1"/>
  <c r="J48" i="2" s="1"/>
  <c r="K48" i="2" s="1"/>
  <c r="L48" i="2" s="1"/>
  <c r="E35" i="2"/>
  <c r="G35" i="2" s="1"/>
  <c r="J35" i="2" s="1"/>
  <c r="K35" i="2" s="1"/>
  <c r="E47" i="2"/>
  <c r="G47" i="2" s="1"/>
  <c r="J47" i="2" s="1"/>
  <c r="K47" i="2" s="1"/>
  <c r="L47" i="2" s="1"/>
  <c r="E46" i="2"/>
  <c r="G46" i="2" s="1"/>
  <c r="J46" i="2" s="1"/>
  <c r="K46" i="2" s="1"/>
  <c r="E45" i="2"/>
  <c r="G45" i="2" s="1"/>
  <c r="J45" i="2" s="1"/>
  <c r="K45" i="2" s="1"/>
  <c r="L45" i="2" s="1"/>
  <c r="E44" i="2"/>
  <c r="G44" i="2" s="1"/>
  <c r="J44" i="2" s="1"/>
  <c r="K44" i="2" s="1"/>
  <c r="L44" i="2" s="1"/>
  <c r="E43" i="2"/>
  <c r="E42" i="2"/>
  <c r="G42" i="2" s="1"/>
  <c r="J42" i="2" s="1"/>
  <c r="K42" i="2" s="1"/>
  <c r="L42" i="2" s="1"/>
  <c r="E41" i="2"/>
  <c r="G41" i="2" s="1"/>
  <c r="J41" i="2" s="1"/>
  <c r="K41" i="2" s="1"/>
  <c r="L41" i="2" s="1"/>
  <c r="E40" i="2"/>
  <c r="G40" i="2" s="1"/>
  <c r="J40" i="2" s="1"/>
  <c r="K40" i="2" s="1"/>
  <c r="E39" i="2"/>
  <c r="G39" i="2" s="1"/>
  <c r="J39" i="2" s="1"/>
  <c r="K39" i="2" s="1"/>
  <c r="L39" i="2" s="1"/>
  <c r="E38" i="2"/>
  <c r="G38" i="2" s="1"/>
  <c r="J38" i="2" s="1"/>
  <c r="K38" i="2" s="1"/>
  <c r="L38" i="2" s="1"/>
  <c r="E29" i="2"/>
  <c r="G29" i="2" s="1"/>
  <c r="J29" i="2" s="1"/>
  <c r="K29" i="2" s="1"/>
  <c r="L29" i="2" s="1"/>
  <c r="E30" i="2"/>
  <c r="G30" i="2" s="1"/>
  <c r="J30" i="2" s="1"/>
  <c r="K30" i="2" s="1"/>
  <c r="L30" i="2" s="1"/>
  <c r="E31" i="2"/>
  <c r="G31" i="2" s="1"/>
  <c r="J31" i="2" s="1"/>
  <c r="K31" i="2" s="1"/>
  <c r="E32" i="2"/>
  <c r="G32" i="2" s="1"/>
  <c r="J32" i="2" s="1"/>
  <c r="K32" i="2" s="1"/>
  <c r="E33" i="2"/>
  <c r="G33" i="2" s="1"/>
  <c r="J33" i="2" s="1"/>
  <c r="K33" i="2" s="1"/>
  <c r="E34" i="2"/>
  <c r="G34" i="2" s="1"/>
  <c r="J34" i="2" s="1"/>
  <c r="K34" i="2" s="1"/>
  <c r="E36" i="2"/>
  <c r="G36" i="2" s="1"/>
  <c r="J36" i="2" s="1"/>
  <c r="K36" i="2" s="1"/>
  <c r="E37" i="2"/>
  <c r="G37" i="2" s="1"/>
  <c r="J37" i="2" s="1"/>
  <c r="K37" i="2" s="1"/>
  <c r="E28" i="2"/>
  <c r="G28" i="2" s="1"/>
  <c r="J28" i="2" s="1"/>
  <c r="K28" i="2" s="1"/>
  <c r="L28" i="2" s="1"/>
  <c r="H5" i="2"/>
  <c r="AC3" i="2"/>
  <c r="AC4" i="2"/>
  <c r="AC2" i="2"/>
  <c r="T11" i="2"/>
  <c r="T10" i="2"/>
  <c r="T9" i="2"/>
  <c r="U10" i="2"/>
  <c r="U11" i="2"/>
  <c r="U9" i="2"/>
  <c r="V8" i="2"/>
  <c r="U8" i="2"/>
  <c r="T8" i="2"/>
  <c r="U7" i="2"/>
  <c r="T7" i="2"/>
  <c r="U6" i="2"/>
  <c r="T6" i="2"/>
  <c r="U5" i="2"/>
  <c r="T5" i="2"/>
  <c r="N3" i="2"/>
  <c r="Q3" i="2" s="1"/>
  <c r="O3" i="2"/>
  <c r="R3" i="2" s="1"/>
  <c r="P3" i="2"/>
  <c r="S3" i="2" s="1"/>
  <c r="N4" i="2"/>
  <c r="Q4" i="2" s="1"/>
  <c r="O4" i="2"/>
  <c r="P4" i="2"/>
  <c r="S4" i="2" s="1"/>
  <c r="P5" i="2"/>
  <c r="S5" i="2" s="1"/>
  <c r="P6" i="2"/>
  <c r="S6" i="2" s="1"/>
  <c r="P7" i="2"/>
  <c r="S7" i="2" s="1"/>
  <c r="P9" i="2"/>
  <c r="S9" i="2" s="1"/>
  <c r="P10" i="2"/>
  <c r="S10" i="2" s="1"/>
  <c r="P11" i="2"/>
  <c r="O2" i="2"/>
  <c r="R2" i="2" s="1"/>
  <c r="P2" i="2"/>
  <c r="S2" i="2" s="1"/>
  <c r="N2" i="2"/>
  <c r="Q2" i="2" s="1"/>
  <c r="R4" i="2"/>
  <c r="S11" i="2"/>
  <c r="K11" i="2"/>
  <c r="K10" i="2"/>
  <c r="K9" i="2"/>
  <c r="L11" i="2"/>
  <c r="L10" i="2"/>
  <c r="L9" i="2"/>
  <c r="M8" i="2"/>
  <c r="L8" i="2"/>
  <c r="K8" i="2"/>
  <c r="L7" i="2"/>
  <c r="K7" i="2"/>
  <c r="L6" i="2"/>
  <c r="K6" i="2"/>
  <c r="K5" i="2"/>
  <c r="L5" i="2"/>
  <c r="I11" i="2"/>
  <c r="H11" i="2"/>
  <c r="N11" i="2" s="1"/>
  <c r="Q11" i="2" s="1"/>
  <c r="I10" i="2"/>
  <c r="H10" i="2"/>
  <c r="N10" i="2" s="1"/>
  <c r="Q10" i="2" s="1"/>
  <c r="I9" i="2"/>
  <c r="H9" i="2"/>
  <c r="N9" i="2" s="1"/>
  <c r="Q9" i="2" s="1"/>
  <c r="J8" i="2"/>
  <c r="I8" i="2"/>
  <c r="H8" i="2"/>
  <c r="I7" i="2"/>
  <c r="H7" i="2"/>
  <c r="I6" i="2"/>
  <c r="O6" i="2" s="1"/>
  <c r="R6" i="2" s="1"/>
  <c r="H6" i="2"/>
  <c r="I5" i="2"/>
  <c r="B26" i="2"/>
  <c r="G19" i="1"/>
  <c r="S19" i="1"/>
  <c r="Q19" i="1"/>
  <c r="O19" i="1"/>
  <c r="M19" i="1"/>
  <c r="K19" i="1"/>
  <c r="I19" i="1"/>
  <c r="M16" i="1"/>
  <c r="K16" i="1"/>
  <c r="I16" i="1"/>
  <c r="G16" i="1"/>
  <c r="M12" i="1"/>
  <c r="K12" i="1"/>
  <c r="I12" i="1"/>
  <c r="G12" i="1"/>
  <c r="M8" i="1"/>
  <c r="K8" i="1"/>
  <c r="I8" i="1"/>
  <c r="G8" i="1"/>
  <c r="S4" i="1"/>
  <c r="Q4" i="1"/>
  <c r="O4" i="1"/>
  <c r="M4" i="1"/>
  <c r="K4" i="1"/>
  <c r="I4" i="1"/>
  <c r="G4" i="1"/>
  <c r="H12" i="4" l="1"/>
  <c r="K4" i="4"/>
  <c r="H11" i="4"/>
  <c r="K6" i="4"/>
  <c r="H7" i="4"/>
  <c r="H9" i="4"/>
  <c r="D5" i="3"/>
  <c r="D4" i="3"/>
  <c r="O6" i="3"/>
  <c r="W11" i="2"/>
  <c r="O8" i="2"/>
  <c r="R8" i="2" s="1"/>
  <c r="X8" i="2" s="1"/>
  <c r="AA8" i="2" s="1"/>
  <c r="N6" i="2"/>
  <c r="Q6" i="2" s="1"/>
  <c r="W6" i="2" s="1"/>
  <c r="Z6" i="2" s="1"/>
  <c r="N5" i="2"/>
  <c r="Q5" i="2" s="1"/>
  <c r="W5" i="2" s="1"/>
  <c r="Z5" i="2" s="1"/>
  <c r="W3" i="2"/>
  <c r="O9" i="2"/>
  <c r="R9" i="2" s="1"/>
  <c r="X9" i="2" s="1"/>
  <c r="AA9" i="2" s="1"/>
  <c r="Y4" i="2"/>
  <c r="O7" i="2"/>
  <c r="R7" i="2" s="1"/>
  <c r="N8" i="2"/>
  <c r="Q8" i="2" s="1"/>
  <c r="W8" i="2" s="1"/>
  <c r="Z8" i="2" s="1"/>
  <c r="AC8" i="2" s="1"/>
  <c r="L34" i="2" s="1"/>
  <c r="Z11" i="2"/>
  <c r="Y11" i="2"/>
  <c r="P8" i="2"/>
  <c r="S8" i="2" s="1"/>
  <c r="Y8" i="2" s="1"/>
  <c r="AB8" i="2" s="1"/>
  <c r="O5" i="2"/>
  <c r="R5" i="2" s="1"/>
  <c r="X5" i="2" s="1"/>
  <c r="AA5" i="2" s="1"/>
  <c r="O10" i="2"/>
  <c r="R10" i="2" s="1"/>
  <c r="X10" i="2" s="1"/>
  <c r="AA10" i="2" s="1"/>
  <c r="X3" i="2"/>
  <c r="X4" i="2"/>
  <c r="N7" i="2"/>
  <c r="Q7" i="2" s="1"/>
  <c r="W7" i="2" s="1"/>
  <c r="Z7" i="2" s="1"/>
  <c r="AC7" i="2" s="1"/>
  <c r="L33" i="2" s="1"/>
  <c r="X6" i="2"/>
  <c r="AA6" i="2" s="1"/>
  <c r="Y6" i="2"/>
  <c r="Y9" i="2"/>
  <c r="W4" i="2"/>
  <c r="X2" i="2"/>
  <c r="Y5" i="2"/>
  <c r="O11" i="2"/>
  <c r="R11" i="2" s="1"/>
  <c r="X11" i="2" s="1"/>
  <c r="AA11" i="2" s="1"/>
  <c r="W2" i="2"/>
  <c r="Y2" i="2"/>
  <c r="Y3" i="2"/>
  <c r="W9" i="2"/>
  <c r="Z9" i="2" s="1"/>
  <c r="X7" i="2"/>
  <c r="AA7" i="2" s="1"/>
  <c r="W10" i="2"/>
  <c r="Z10" i="2" s="1"/>
  <c r="Y10" i="2"/>
  <c r="Y7" i="2"/>
  <c r="I28" i="4" l="1"/>
  <c r="K12" i="4"/>
  <c r="K7" i="4"/>
  <c r="J23" i="4" s="1"/>
  <c r="I23" i="4"/>
  <c r="H10" i="4"/>
  <c r="K9" i="4"/>
  <c r="H5" i="4"/>
  <c r="K11" i="4"/>
  <c r="L40" i="2"/>
  <c r="AC10" i="2"/>
  <c r="L36" i="2" s="1"/>
  <c r="AC5" i="2"/>
  <c r="AC6" i="2"/>
  <c r="AC11" i="2"/>
  <c r="L37" i="2" s="1"/>
  <c r="I25" i="4" l="1"/>
  <c r="K5" i="4"/>
  <c r="H8" i="4"/>
  <c r="I27" i="4"/>
  <c r="J27" i="4" s="1"/>
  <c r="K10" i="4"/>
  <c r="J28" i="4"/>
  <c r="L32" i="2"/>
  <c r="L43" i="2"/>
  <c r="AC9" i="2"/>
  <c r="L35" i="2" s="1"/>
  <c r="L46" i="2"/>
  <c r="L31" i="2"/>
  <c r="M27" i="4" l="1"/>
  <c r="I22" i="4"/>
  <c r="J22" i="4" s="1"/>
  <c r="H13" i="4"/>
  <c r="K8" i="4"/>
  <c r="H14" i="4"/>
  <c r="K14" i="4" l="1"/>
  <c r="J30" i="4" s="1"/>
  <c r="I30" i="4"/>
  <c r="I29" i="4"/>
  <c r="J29" i="4" s="1"/>
  <c r="K13" i="4"/>
  <c r="M29" i="4" l="1"/>
  <c r="I26" i="4"/>
  <c r="J26" i="4" s="1"/>
  <c r="I24" i="4" l="1"/>
  <c r="J24" i="4" s="1"/>
  <c r="M26" i="4" s="1"/>
  <c r="M28" i="4"/>
</calcChain>
</file>

<file path=xl/sharedStrings.xml><?xml version="1.0" encoding="utf-8"?>
<sst xmlns="http://schemas.openxmlformats.org/spreadsheetml/2006/main" count="54" uniqueCount="40">
  <si>
    <t>1,2</t>
  </si>
  <si>
    <t>1,3</t>
  </si>
  <si>
    <t>2,3</t>
  </si>
  <si>
    <t>1,2,3</t>
  </si>
  <si>
    <t>Ts</t>
  </si>
  <si>
    <t>x</t>
  </si>
  <si>
    <t>Ta</t>
  </si>
  <si>
    <t>h</t>
  </si>
  <si>
    <t>Ds</t>
  </si>
  <si>
    <t>mI</t>
  </si>
  <si>
    <t>N</t>
  </si>
  <si>
    <t>p</t>
  </si>
  <si>
    <t>cp</t>
  </si>
  <si>
    <t>Ti</t>
  </si>
  <si>
    <t>Length</t>
  </si>
  <si>
    <t>Map X</t>
  </si>
  <si>
    <t>Map Y</t>
  </si>
  <si>
    <t>Diameter</t>
  </si>
  <si>
    <t>Surface Area</t>
  </si>
  <si>
    <t>hAs</t>
  </si>
  <si>
    <t>m</t>
  </si>
  <si>
    <t>To</t>
  </si>
  <si>
    <t>E</t>
  </si>
  <si>
    <t>Et</t>
  </si>
  <si>
    <t>DL</t>
  </si>
  <si>
    <t>mcp</t>
  </si>
  <si>
    <t>mu</t>
  </si>
  <si>
    <t>zetaF</t>
  </si>
  <si>
    <t>zetaB</t>
  </si>
  <si>
    <t>Alpha</t>
  </si>
  <si>
    <t>Zeta</t>
  </si>
  <si>
    <t>In Node</t>
  </si>
  <si>
    <t>Out Node</t>
  </si>
  <si>
    <t>delta m</t>
  </si>
  <si>
    <t>Branch #</t>
  </si>
  <si>
    <t>Feeding Edge</t>
  </si>
  <si>
    <t>dP edge</t>
  </si>
  <si>
    <t>Base</t>
  </si>
  <si>
    <t>Total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</si>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</sst>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9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0" xfId="0" applyNumberFormat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1" xfId="0" applyFill="1" applyBorder="1"/>
    <xf numFmtId="0" fontId="0" fillId="2" borderId="4" xfId="0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EF7B-026B-4EEB-A96C-56FCF21177F7}">
  <dimension ref="A1:S20"/>
  <sheetViews>
    <sheetView workbookViewId="0">
      <selection activeCell="S4" sqref="S4"/>
    </sheetView>
  </sheetViews>
  <sheetFormatPr defaultRowHeight="14.5" x14ac:dyDescent="0.35"/>
  <cols>
    <col min="5" max="5" width="8.7265625" style="2"/>
    <col min="7" max="7" width="8.7265625" style="2"/>
    <col min="9" max="9" width="8.7265625" style="2"/>
    <col min="11" max="11" width="8.7265625" style="2"/>
    <col min="13" max="13" width="8.7265625" style="2"/>
    <col min="15" max="15" width="8.7265625" style="2"/>
    <col min="17" max="17" width="8.7265625" style="2"/>
    <col min="19" max="19" width="8.7265625" style="2"/>
  </cols>
  <sheetData>
    <row r="1" spans="1:19" x14ac:dyDescent="0.35">
      <c r="A1">
        <v>0</v>
      </c>
      <c r="B1">
        <v>1</v>
      </c>
      <c r="C1" s="5">
        <v>9.2195444572928906</v>
      </c>
      <c r="D1" s="1">
        <v>1</v>
      </c>
      <c r="F1" s="9">
        <v>0</v>
      </c>
      <c r="G1" s="10">
        <v>1</v>
      </c>
      <c r="H1" s="9">
        <v>0</v>
      </c>
      <c r="I1" s="10">
        <v>1</v>
      </c>
      <c r="J1" s="9">
        <v>0</v>
      </c>
      <c r="K1" s="10">
        <v>1</v>
      </c>
      <c r="L1" s="9">
        <v>0</v>
      </c>
      <c r="M1" s="10">
        <v>1</v>
      </c>
      <c r="N1" s="9">
        <v>0</v>
      </c>
      <c r="O1" s="10">
        <v>1</v>
      </c>
      <c r="P1" s="9">
        <v>0</v>
      </c>
      <c r="Q1" s="10">
        <v>2</v>
      </c>
      <c r="R1" s="9">
        <v>0</v>
      </c>
      <c r="S1" s="10">
        <v>2</v>
      </c>
    </row>
    <row r="2" spans="1:19" x14ac:dyDescent="0.35">
      <c r="A2">
        <v>0</v>
      </c>
      <c r="B2">
        <v>2</v>
      </c>
      <c r="C2" s="5">
        <v>6.3245553203367599</v>
      </c>
      <c r="D2" s="1">
        <v>2</v>
      </c>
      <c r="F2" s="9">
        <v>0</v>
      </c>
      <c r="G2" s="10">
        <v>2</v>
      </c>
      <c r="H2" s="9">
        <v>0</v>
      </c>
      <c r="I2" s="10">
        <v>2</v>
      </c>
      <c r="J2" s="9">
        <v>0</v>
      </c>
      <c r="K2" s="10">
        <v>2</v>
      </c>
      <c r="L2" s="9">
        <v>0</v>
      </c>
      <c r="M2" s="10">
        <v>3</v>
      </c>
      <c r="N2" s="9">
        <v>0</v>
      </c>
      <c r="O2" s="10">
        <v>3</v>
      </c>
      <c r="P2" s="9">
        <v>0</v>
      </c>
      <c r="Q2" s="10">
        <v>3</v>
      </c>
      <c r="R2" s="9">
        <v>0</v>
      </c>
      <c r="S2" s="10">
        <v>3</v>
      </c>
    </row>
    <row r="3" spans="1:19" x14ac:dyDescent="0.35">
      <c r="A3">
        <v>0</v>
      </c>
      <c r="B3">
        <v>3</v>
      </c>
      <c r="C3" s="5">
        <v>6.4031242374328503</v>
      </c>
      <c r="D3" s="1">
        <v>3</v>
      </c>
      <c r="F3" s="9">
        <v>0</v>
      </c>
      <c r="G3" s="10">
        <v>3</v>
      </c>
      <c r="H3" s="9">
        <v>2</v>
      </c>
      <c r="I3" s="10">
        <v>3</v>
      </c>
      <c r="J3" s="9">
        <v>1</v>
      </c>
      <c r="K3" s="10">
        <v>3</v>
      </c>
      <c r="L3" s="9">
        <v>1</v>
      </c>
      <c r="M3" s="10">
        <v>2</v>
      </c>
      <c r="N3" s="9">
        <v>3</v>
      </c>
      <c r="O3" s="10">
        <v>2</v>
      </c>
      <c r="P3" s="9">
        <v>2</v>
      </c>
      <c r="Q3" s="10">
        <v>1</v>
      </c>
      <c r="R3" s="9">
        <v>3</v>
      </c>
      <c r="S3" s="10">
        <v>1</v>
      </c>
    </row>
    <row r="4" spans="1:19" x14ac:dyDescent="0.35">
      <c r="A4">
        <v>0</v>
      </c>
      <c r="B4">
        <v>4</v>
      </c>
      <c r="C4" s="5">
        <v>11.7552743868545</v>
      </c>
      <c r="D4" s="1" t="s">
        <v>0</v>
      </c>
      <c r="G4" s="12">
        <f>SUM(C1:C3)</f>
        <v>21.947224015062503</v>
      </c>
      <c r="I4" s="12">
        <f>SUM(C1:C2,C12)</f>
        <v>27.750655393363353</v>
      </c>
      <c r="K4" s="12">
        <f>SUM(C1:C2,C9)</f>
        <v>31.100448963733651</v>
      </c>
      <c r="M4" s="12">
        <f>SUM(C1,C3,C8)</f>
        <v>19.745774320343401</v>
      </c>
      <c r="O4" s="12">
        <f>SUM(C1,C3,C15)</f>
        <v>27.829224310459441</v>
      </c>
      <c r="Q4" s="12">
        <f>SUM(C2:C3,C11)</f>
        <v>16.85078518338727</v>
      </c>
      <c r="S4" s="12">
        <f>SUM(C2:C3,C14)</f>
        <v>28.284028743873613</v>
      </c>
    </row>
    <row r="5" spans="1:19" x14ac:dyDescent="0.35">
      <c r="A5">
        <v>0</v>
      </c>
      <c r="B5">
        <v>5</v>
      </c>
      <c r="C5" s="5">
        <v>17.1374880161882</v>
      </c>
      <c r="D5" s="1" t="s">
        <v>1</v>
      </c>
      <c r="F5" s="7">
        <v>0</v>
      </c>
      <c r="G5" s="8">
        <v>1</v>
      </c>
      <c r="H5" s="11">
        <v>0</v>
      </c>
      <c r="I5" s="8">
        <v>1</v>
      </c>
      <c r="J5" s="11">
        <v>0</v>
      </c>
      <c r="K5" s="8">
        <v>1</v>
      </c>
      <c r="L5" s="11">
        <v>0</v>
      </c>
      <c r="M5" s="8">
        <v>1</v>
      </c>
      <c r="N5" s="4"/>
      <c r="O5" s="6"/>
      <c r="P5" s="4"/>
      <c r="Q5" s="6"/>
      <c r="R5" s="4"/>
      <c r="S5" s="6"/>
    </row>
    <row r="6" spans="1:19" x14ac:dyDescent="0.35">
      <c r="A6">
        <v>0</v>
      </c>
      <c r="B6">
        <v>6</v>
      </c>
      <c r="C6" s="5">
        <v>14.0093312534657</v>
      </c>
      <c r="D6" s="1" t="s">
        <v>2</v>
      </c>
      <c r="F6" s="9">
        <v>1</v>
      </c>
      <c r="G6" s="10">
        <v>2</v>
      </c>
      <c r="H6" s="9">
        <v>1</v>
      </c>
      <c r="I6" s="10">
        <v>2</v>
      </c>
      <c r="J6" s="9">
        <v>1</v>
      </c>
      <c r="K6" s="10">
        <v>3</v>
      </c>
      <c r="L6" s="9">
        <v>1</v>
      </c>
      <c r="M6" s="10">
        <v>6</v>
      </c>
    </row>
    <row r="7" spans="1:19" x14ac:dyDescent="0.35">
      <c r="A7">
        <v>0</v>
      </c>
      <c r="B7">
        <v>8</v>
      </c>
      <c r="C7" s="5">
        <v>19.298713513340601</v>
      </c>
      <c r="D7" s="1" t="s">
        <v>3</v>
      </c>
      <c r="F7" s="9">
        <v>2</v>
      </c>
      <c r="G7" s="10">
        <v>3</v>
      </c>
      <c r="H7" s="9">
        <v>1</v>
      </c>
      <c r="I7" s="10">
        <v>3</v>
      </c>
      <c r="J7" s="9">
        <v>3</v>
      </c>
      <c r="K7" s="10">
        <v>2</v>
      </c>
    </row>
    <row r="8" spans="1:19" x14ac:dyDescent="0.35">
      <c r="A8">
        <v>1</v>
      </c>
      <c r="B8">
        <v>2</v>
      </c>
      <c r="C8" s="5">
        <v>4.1231056256176597</v>
      </c>
      <c r="D8" s="1">
        <v>2</v>
      </c>
      <c r="F8" s="5"/>
      <c r="G8" s="12">
        <f>SUM(C1,C8,C12)</f>
        <v>25.549205698644251</v>
      </c>
      <c r="H8" s="5"/>
      <c r="I8" s="12">
        <f>SUM(C1,C9,C8)</f>
        <v>28.898999269014553</v>
      </c>
      <c r="K8" s="12">
        <f>SUM(C1,C9,C15)</f>
        <v>36.98244925913059</v>
      </c>
      <c r="M8" s="12">
        <f>SUM(C1,C10)</f>
        <v>31.03078642917589</v>
      </c>
    </row>
    <row r="9" spans="1:19" x14ac:dyDescent="0.35">
      <c r="A9">
        <v>1</v>
      </c>
      <c r="B9">
        <v>3</v>
      </c>
      <c r="C9" s="5">
        <v>15.556349186104001</v>
      </c>
      <c r="D9" s="1">
        <v>3</v>
      </c>
      <c r="F9" s="7">
        <v>0</v>
      </c>
      <c r="G9" s="8">
        <v>2</v>
      </c>
      <c r="H9" s="11">
        <v>0</v>
      </c>
      <c r="I9" s="8">
        <v>2</v>
      </c>
      <c r="J9" s="11">
        <v>0</v>
      </c>
      <c r="K9" s="8">
        <v>2</v>
      </c>
      <c r="L9" s="11">
        <v>0</v>
      </c>
      <c r="M9" s="8">
        <v>2</v>
      </c>
      <c r="N9" s="4"/>
      <c r="O9" s="6"/>
      <c r="P9" s="4"/>
      <c r="Q9" s="6"/>
      <c r="R9" s="4"/>
      <c r="S9" s="6"/>
    </row>
    <row r="10" spans="1:19" x14ac:dyDescent="0.35">
      <c r="A10">
        <v>1</v>
      </c>
      <c r="B10">
        <v>6</v>
      </c>
      <c r="C10" s="5">
        <v>21.811241971883</v>
      </c>
      <c r="D10" s="1" t="s">
        <v>2</v>
      </c>
      <c r="F10" s="9">
        <v>2</v>
      </c>
      <c r="G10" s="10">
        <v>1</v>
      </c>
      <c r="H10" s="9">
        <v>2</v>
      </c>
      <c r="I10" s="10">
        <v>1</v>
      </c>
      <c r="J10" s="9">
        <v>2</v>
      </c>
      <c r="K10" s="10">
        <v>3</v>
      </c>
      <c r="L10" s="9">
        <v>2</v>
      </c>
      <c r="M10" s="10">
        <v>5</v>
      </c>
    </row>
    <row r="11" spans="1:19" x14ac:dyDescent="0.35">
      <c r="A11">
        <v>2</v>
      </c>
      <c r="B11">
        <v>1</v>
      </c>
      <c r="C11" s="5">
        <v>4.1231056256176597</v>
      </c>
      <c r="D11" s="1">
        <v>1</v>
      </c>
      <c r="F11" s="9">
        <v>1</v>
      </c>
      <c r="G11" s="10">
        <v>3</v>
      </c>
      <c r="H11" s="9">
        <v>2</v>
      </c>
      <c r="I11" s="10">
        <v>3</v>
      </c>
      <c r="J11" s="9">
        <v>3</v>
      </c>
      <c r="K11" s="10">
        <v>1</v>
      </c>
    </row>
    <row r="12" spans="1:19" x14ac:dyDescent="0.35">
      <c r="A12">
        <v>2</v>
      </c>
      <c r="B12">
        <v>3</v>
      </c>
      <c r="C12" s="5">
        <v>12.2065556157337</v>
      </c>
      <c r="D12" s="1">
        <v>3</v>
      </c>
      <c r="G12" s="12">
        <f>SUM(C2,C11,C9)</f>
        <v>26.004010132058418</v>
      </c>
      <c r="I12" s="12">
        <f>SUM(C2,C11,C12)</f>
        <v>22.65421656168812</v>
      </c>
      <c r="K12" s="12">
        <f>SUM(C2,C12,C14)</f>
        <v>34.087460122174463</v>
      </c>
      <c r="M12" s="12">
        <f>SUM(C2,C13)</f>
        <v>26.62432099669336</v>
      </c>
    </row>
    <row r="13" spans="1:19" x14ac:dyDescent="0.35">
      <c r="A13">
        <v>2</v>
      </c>
      <c r="B13">
        <v>5</v>
      </c>
      <c r="C13" s="5">
        <v>20.2997656763566</v>
      </c>
      <c r="D13" s="1" t="s">
        <v>1</v>
      </c>
      <c r="F13" s="7">
        <v>0</v>
      </c>
      <c r="G13" s="8">
        <v>3</v>
      </c>
      <c r="H13" s="11">
        <v>0</v>
      </c>
      <c r="I13" s="8">
        <v>3</v>
      </c>
      <c r="J13" s="11">
        <v>0</v>
      </c>
      <c r="K13" s="8">
        <v>3</v>
      </c>
      <c r="L13" s="11">
        <v>0</v>
      </c>
      <c r="M13" s="8">
        <v>3</v>
      </c>
      <c r="N13" s="4"/>
      <c r="O13" s="6"/>
      <c r="P13" s="4"/>
      <c r="Q13" s="6"/>
      <c r="R13" s="4"/>
      <c r="S13" s="6"/>
    </row>
    <row r="14" spans="1:19" x14ac:dyDescent="0.35">
      <c r="A14">
        <v>3</v>
      </c>
      <c r="B14">
        <v>1</v>
      </c>
      <c r="C14" s="5">
        <v>15.556349186104001</v>
      </c>
      <c r="D14" s="1">
        <v>1</v>
      </c>
      <c r="F14" s="9">
        <v>3</v>
      </c>
      <c r="G14" s="10">
        <v>2</v>
      </c>
      <c r="H14" s="9">
        <v>3</v>
      </c>
      <c r="I14" s="10">
        <v>1</v>
      </c>
      <c r="J14" s="9">
        <v>3</v>
      </c>
      <c r="K14" s="10">
        <v>1</v>
      </c>
      <c r="L14" s="9">
        <v>3</v>
      </c>
      <c r="M14" s="10">
        <v>4</v>
      </c>
    </row>
    <row r="15" spans="1:19" x14ac:dyDescent="0.35">
      <c r="A15">
        <v>3</v>
      </c>
      <c r="B15">
        <v>2</v>
      </c>
      <c r="C15" s="5">
        <v>12.2065556157337</v>
      </c>
      <c r="D15" s="1">
        <v>2</v>
      </c>
      <c r="F15" s="9">
        <v>2</v>
      </c>
      <c r="G15" s="10">
        <v>1</v>
      </c>
      <c r="H15" s="9">
        <v>3</v>
      </c>
      <c r="I15" s="10">
        <v>2</v>
      </c>
      <c r="J15" s="9">
        <v>1</v>
      </c>
      <c r="K15" s="10">
        <v>2</v>
      </c>
    </row>
    <row r="16" spans="1:19" x14ac:dyDescent="0.35">
      <c r="A16">
        <v>3</v>
      </c>
      <c r="B16">
        <v>4</v>
      </c>
      <c r="C16" s="5">
        <v>17.952422311557001</v>
      </c>
      <c r="D16" s="1" t="s">
        <v>0</v>
      </c>
      <c r="G16" s="12">
        <f>SUM(C3,C15,C11)</f>
        <v>22.732785478784209</v>
      </c>
      <c r="I16" s="12">
        <f>SUM(C3,C14,C15)</f>
        <v>34.166029039270548</v>
      </c>
      <c r="K16" s="12">
        <f>SUM(C3,C14,C8)</f>
        <v>26.082579049154511</v>
      </c>
      <c r="M16" s="12">
        <f>SUM(C3,C16)</f>
        <v>24.355546548989849</v>
      </c>
    </row>
    <row r="17" spans="1:19" x14ac:dyDescent="0.35">
      <c r="A17">
        <v>4</v>
      </c>
      <c r="B17">
        <v>3</v>
      </c>
      <c r="C17" s="5">
        <v>13.8293166859393</v>
      </c>
      <c r="D17" s="1">
        <v>3</v>
      </c>
      <c r="F17" s="7">
        <v>0</v>
      </c>
      <c r="G17" s="8">
        <v>4</v>
      </c>
      <c r="H17" s="11">
        <v>0</v>
      </c>
      <c r="I17" s="8">
        <v>4</v>
      </c>
      <c r="J17" s="11">
        <v>0</v>
      </c>
      <c r="K17" s="8">
        <v>5</v>
      </c>
      <c r="L17" s="11">
        <v>0</v>
      </c>
      <c r="M17" s="8">
        <v>5</v>
      </c>
      <c r="N17" s="11">
        <v>0</v>
      </c>
      <c r="O17" s="8">
        <v>6</v>
      </c>
      <c r="P17" s="11">
        <v>0</v>
      </c>
      <c r="Q17" s="8">
        <v>6</v>
      </c>
      <c r="R17" s="11">
        <v>0</v>
      </c>
      <c r="S17" s="8">
        <v>8</v>
      </c>
    </row>
    <row r="18" spans="1:19" x14ac:dyDescent="0.35">
      <c r="A18">
        <v>5</v>
      </c>
      <c r="B18">
        <v>2</v>
      </c>
      <c r="C18" s="5">
        <v>4.74341649025257</v>
      </c>
      <c r="D18" s="1">
        <v>2</v>
      </c>
      <c r="F18" s="9">
        <v>4</v>
      </c>
      <c r="G18" s="10">
        <v>3</v>
      </c>
      <c r="H18" s="9">
        <v>0</v>
      </c>
      <c r="I18" s="10">
        <v>3</v>
      </c>
      <c r="J18" s="9">
        <v>5</v>
      </c>
      <c r="K18" s="10">
        <v>2</v>
      </c>
      <c r="L18" s="9">
        <v>0</v>
      </c>
      <c r="M18" s="10">
        <v>2</v>
      </c>
      <c r="N18" s="9">
        <v>6</v>
      </c>
      <c r="O18" s="10">
        <v>1</v>
      </c>
      <c r="P18" s="9">
        <v>0</v>
      </c>
      <c r="Q18" s="10">
        <v>1</v>
      </c>
    </row>
    <row r="19" spans="1:19" x14ac:dyDescent="0.35">
      <c r="A19">
        <v>6</v>
      </c>
      <c r="B19">
        <v>1</v>
      </c>
      <c r="C19" s="5">
        <v>9.6046863561492692</v>
      </c>
      <c r="D19" s="1">
        <v>1</v>
      </c>
      <c r="G19" s="12">
        <f>SUM(C4,C17)</f>
        <v>25.584591072793799</v>
      </c>
      <c r="I19" s="12">
        <f>SUM(C3:C4)</f>
        <v>18.158398624287351</v>
      </c>
      <c r="K19" s="12">
        <f>SUM(C5,C18)</f>
        <v>21.880904506440771</v>
      </c>
      <c r="M19" s="12">
        <f>SUM(C5,C2)</f>
        <v>23.46204333652496</v>
      </c>
      <c r="O19" s="12">
        <f>SUM(C6,C19)</f>
        <v>23.614017609614969</v>
      </c>
      <c r="Q19" s="12">
        <f>SUM(C6,C1)</f>
        <v>23.22887571075859</v>
      </c>
      <c r="S19" s="12">
        <f>C7</f>
        <v>19.298713513340601</v>
      </c>
    </row>
    <row r="20" spans="1:19" x14ac:dyDescent="0.35">
      <c r="F20" s="3"/>
      <c r="G20" s="6"/>
      <c r="H20" s="4"/>
      <c r="I20" s="6"/>
      <c r="J20" s="4"/>
      <c r="K20" s="6"/>
      <c r="L20" s="4"/>
      <c r="M20" s="6"/>
      <c r="N20" s="4"/>
      <c r="O20" s="6"/>
      <c r="P20" s="4"/>
      <c r="Q20" s="6"/>
      <c r="R20" s="4"/>
      <c r="S2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BA04-682D-431D-966A-9ADBA057FAA8}">
  <dimension ref="A1:O31"/>
  <sheetViews>
    <sheetView workbookViewId="0">
      <selection activeCell="D20" sqref="D20"/>
    </sheetView>
  </sheetViews>
  <sheetFormatPr defaultRowHeight="14.5" x14ac:dyDescent="0.35"/>
  <sheetData>
    <row r="1" spans="1:15" x14ac:dyDescent="0.35">
      <c r="A1">
        <v>1.5923677471704201</v>
      </c>
      <c r="C1">
        <v>1</v>
      </c>
      <c r="D1">
        <v>10</v>
      </c>
      <c r="E1">
        <f>D1-A1-A2</f>
        <v>8.2102076955184309</v>
      </c>
      <c r="I1">
        <v>0.77905172323127503</v>
      </c>
      <c r="L1">
        <v>1</v>
      </c>
      <c r="M1">
        <f>2^0*I1*D1^2+2^1*I3*(D1-A1)^2+2^2*I4*(D1-A1-A2)^2</f>
        <v>445.88954847220094</v>
      </c>
      <c r="N1">
        <f>2^2*(N3+N4)+2^2*I4*(D1-A1-A2)^2</f>
        <v>346.63258033626204</v>
      </c>
      <c r="O1">
        <f t="shared" ref="O1:O2" si="0">SUM(M1:N1)</f>
        <v>792.52212880846298</v>
      </c>
    </row>
    <row r="2" spans="1:15" x14ac:dyDescent="0.35">
      <c r="A2">
        <v>0.197424557311149</v>
      </c>
      <c r="C2">
        <v>2</v>
      </c>
      <c r="D2">
        <v>10</v>
      </c>
      <c r="E2">
        <f>D2-SUM(A6:A8)</f>
        <v>8.0709150049112974</v>
      </c>
      <c r="I2">
        <v>0.71503707840069397</v>
      </c>
      <c r="L2">
        <v>2</v>
      </c>
      <c r="M2">
        <f>2^0*I2*(D2)^2+2^1*I6*(D2-A6)^2+2^2*I7*(D2-A6-A7)^2</f>
        <v>258.02811100957598</v>
      </c>
      <c r="N2">
        <f>2^3*(N5+N6)+2^3*I8*(D2-A6-A7-A8)^2</f>
        <v>93.253724232181639</v>
      </c>
      <c r="O2">
        <f t="shared" si="0"/>
        <v>351.28183524175762</v>
      </c>
    </row>
    <row r="3" spans="1:15" x14ac:dyDescent="0.35">
      <c r="A3">
        <v>0.52374236774143201</v>
      </c>
      <c r="C3">
        <v>3</v>
      </c>
      <c r="D3">
        <f>E1*0.5</f>
        <v>4.1051038477592154</v>
      </c>
      <c r="I3">
        <v>0.903720560556316</v>
      </c>
      <c r="K3">
        <v>0.5</v>
      </c>
      <c r="L3">
        <v>3</v>
      </c>
      <c r="M3">
        <f>2^0*I9*(D3)^2</f>
        <v>12.539048361683379</v>
      </c>
      <c r="N3">
        <f>2^1*K3*(D3-A3)^2</f>
        <v>12.826150050555169</v>
      </c>
      <c r="O3">
        <f>SUM(M3:N3)</f>
        <v>25.365198412238549</v>
      </c>
    </row>
    <row r="4" spans="1:15" x14ac:dyDescent="0.35">
      <c r="A4">
        <v>0.67071367992559305</v>
      </c>
      <c r="C4">
        <v>4</v>
      </c>
      <c r="D4">
        <f>E1*0.5</f>
        <v>4.1051038477592154</v>
      </c>
      <c r="I4">
        <v>0.89092250433078901</v>
      </c>
      <c r="K4">
        <v>0.8</v>
      </c>
      <c r="L4">
        <v>4</v>
      </c>
      <c r="M4">
        <f>2^0*I10*(D4)^2+2^1*I5*(D4-A4)^2</f>
        <v>16.309247239065346</v>
      </c>
      <c r="N4">
        <f>2^2*K4*(D4-A4-A5)^2</f>
        <v>13.777127054075809</v>
      </c>
      <c r="O4">
        <f t="shared" ref="O4:O5" si="1">SUM(M4:N4)</f>
        <v>30.086374293141155</v>
      </c>
    </row>
    <row r="5" spans="1:15" x14ac:dyDescent="0.35">
      <c r="A5">
        <v>1.35945590275468</v>
      </c>
      <c r="C5">
        <v>5</v>
      </c>
      <c r="D5">
        <f>E2*0.5</f>
        <v>4.0354575024556487</v>
      </c>
      <c r="I5">
        <v>0.33416305273749602</v>
      </c>
      <c r="K5">
        <v>0.4</v>
      </c>
      <c r="L5">
        <v>5</v>
      </c>
      <c r="M5">
        <f>2^0*I11*(D5)^2</f>
        <v>7.8154923569863657</v>
      </c>
      <c r="N5">
        <f>2^1*K5*(D5-A9)^2</f>
        <v>5.953337558398359</v>
      </c>
      <c r="O5">
        <f t="shared" si="1"/>
        <v>13.768829915384725</v>
      </c>
    </row>
    <row r="6" spans="1:15" x14ac:dyDescent="0.35">
      <c r="A6">
        <v>0.27310627471073901</v>
      </c>
      <c r="C6">
        <v>6</v>
      </c>
      <c r="D6">
        <f>E2*0.5</f>
        <v>4.0354575024556487</v>
      </c>
      <c r="I6">
        <v>0.69874583233479504</v>
      </c>
      <c r="K6">
        <v>0.2</v>
      </c>
      <c r="L6">
        <v>6</v>
      </c>
      <c r="M6">
        <f>2^0*I12*(D6)^2</f>
        <v>14.733326784894311</v>
      </c>
      <c r="N6">
        <f>2^1*K6*(D6-A10)^2</f>
        <v>3.7139508368895422</v>
      </c>
      <c r="O6">
        <f>SUM(M6:N6)</f>
        <v>18.447277621783854</v>
      </c>
    </row>
    <row r="7" spans="1:15" x14ac:dyDescent="0.35">
      <c r="A7">
        <v>1.4424549971634799</v>
      </c>
      <c r="I7">
        <v>0.197809826685929</v>
      </c>
      <c r="K7" t="s">
        <v>28</v>
      </c>
    </row>
    <row r="8" spans="1:15" x14ac:dyDescent="0.35">
      <c r="A8">
        <v>0.21352372321448301</v>
      </c>
      <c r="D8" t="s">
        <v>9</v>
      </c>
      <c r="I8">
        <v>3.0540946304636701E-2</v>
      </c>
    </row>
    <row r="9" spans="1:15" x14ac:dyDescent="0.35">
      <c r="A9">
        <v>1.3075146973371199</v>
      </c>
      <c r="I9">
        <v>0.74407426036746205</v>
      </c>
    </row>
    <row r="10" spans="1:15" x14ac:dyDescent="0.35">
      <c r="A10">
        <v>0.98834787327854001</v>
      </c>
      <c r="I10">
        <v>0.50002243559020099</v>
      </c>
    </row>
    <row r="11" spans="1:15" x14ac:dyDescent="0.35">
      <c r="I11">
        <v>0.47992214114606002</v>
      </c>
    </row>
    <row r="12" spans="1:15" x14ac:dyDescent="0.35">
      <c r="I12">
        <v>0.90472223806736296</v>
      </c>
    </row>
    <row r="13" spans="1:15" x14ac:dyDescent="0.35">
      <c r="I13" t="s">
        <v>27</v>
      </c>
    </row>
    <row r="14" spans="1:15" x14ac:dyDescent="0.35">
      <c r="A14" t="s">
        <v>26</v>
      </c>
      <c r="L14">
        <f>2^0*I10*(D4)^2</f>
        <v>8.4263168822637287</v>
      </c>
    </row>
    <row r="15" spans="1:15" x14ac:dyDescent="0.35">
      <c r="L15">
        <f>2^1*I5*(D4-A4)^2</f>
        <v>7.8829303568016185</v>
      </c>
    </row>
    <row r="20" spans="2:3" x14ac:dyDescent="0.35">
      <c r="B20">
        <v>0</v>
      </c>
      <c r="C20">
        <v>1</v>
      </c>
    </row>
    <row r="21" spans="2:3" x14ac:dyDescent="0.35">
      <c r="B21">
        <v>0</v>
      </c>
      <c r="C21">
        <v>6</v>
      </c>
    </row>
    <row r="22" spans="2:3" x14ac:dyDescent="0.35">
      <c r="B22">
        <v>1</v>
      </c>
      <c r="C22">
        <v>2</v>
      </c>
    </row>
    <row r="23" spans="2:3" x14ac:dyDescent="0.35">
      <c r="B23">
        <v>2</v>
      </c>
      <c r="C23">
        <v>11</v>
      </c>
    </row>
    <row r="24" spans="2:3" x14ac:dyDescent="0.35">
      <c r="B24">
        <v>4</v>
      </c>
      <c r="C24">
        <v>5</v>
      </c>
    </row>
    <row r="25" spans="2:3" x14ac:dyDescent="0.35">
      <c r="B25">
        <v>6</v>
      </c>
      <c r="C25">
        <v>7</v>
      </c>
    </row>
    <row r="26" spans="2:3" x14ac:dyDescent="0.35">
      <c r="B26">
        <v>7</v>
      </c>
      <c r="C26">
        <v>8</v>
      </c>
    </row>
    <row r="27" spans="2:3" x14ac:dyDescent="0.35">
      <c r="B27">
        <v>8</v>
      </c>
      <c r="C27">
        <v>12</v>
      </c>
    </row>
    <row r="28" spans="2:3" x14ac:dyDescent="0.35">
      <c r="B28">
        <v>11</v>
      </c>
      <c r="C28">
        <v>3</v>
      </c>
    </row>
    <row r="29" spans="2:3" x14ac:dyDescent="0.35">
      <c r="B29">
        <v>11</v>
      </c>
      <c r="C29">
        <v>4</v>
      </c>
    </row>
    <row r="30" spans="2:3" x14ac:dyDescent="0.35">
      <c r="B30">
        <v>12</v>
      </c>
      <c r="C30">
        <v>9</v>
      </c>
    </row>
    <row r="31" spans="2:3" x14ac:dyDescent="0.35">
      <c r="B31">
        <v>12</v>
      </c>
      <c r="C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A3FA-95F2-415F-A577-8817766A73C5}">
  <dimension ref="A1:O30"/>
  <sheetViews>
    <sheetView tabSelected="1" workbookViewId="0">
      <selection activeCell="M26" sqref="M26"/>
    </sheetView>
  </sheetViews>
  <sheetFormatPr defaultRowHeight="14.5" x14ac:dyDescent="0.35"/>
  <cols>
    <col min="13" max="13" width="12.453125" bestFit="1" customWidth="1"/>
  </cols>
  <sheetData>
    <row r="1" spans="1:15" x14ac:dyDescent="0.35">
      <c r="A1" s="13">
        <v>1.1899485976191899</v>
      </c>
      <c r="B1" s="13"/>
      <c r="C1" s="13">
        <v>9.1513167212610796E-2</v>
      </c>
      <c r="D1">
        <v>0</v>
      </c>
      <c r="E1">
        <v>1</v>
      </c>
      <c r="F1">
        <f>O1</f>
        <v>0.33333333333333298</v>
      </c>
      <c r="G1">
        <v>0</v>
      </c>
      <c r="H1">
        <f>F1*A19-G1</f>
        <v>8.333333333333325</v>
      </c>
      <c r="I1">
        <v>1</v>
      </c>
      <c r="J1">
        <v>0</v>
      </c>
      <c r="K1" s="13">
        <f>C1*H1^2</f>
        <v>6.3550810564312918</v>
      </c>
      <c r="O1">
        <v>0.33333333333333298</v>
      </c>
    </row>
    <row r="2" spans="1:15" x14ac:dyDescent="0.35">
      <c r="A2" s="13">
        <v>1.9243220620225201</v>
      </c>
      <c r="B2" s="13"/>
      <c r="C2" s="13">
        <v>0.61462695801294598</v>
      </c>
      <c r="D2">
        <v>0</v>
      </c>
      <c r="E2">
        <v>5</v>
      </c>
      <c r="F2">
        <f>O2</f>
        <v>0.33333333333333298</v>
      </c>
      <c r="G2">
        <v>0</v>
      </c>
      <c r="H2">
        <f>F2*A19-G2</f>
        <v>8.333333333333325</v>
      </c>
      <c r="I2">
        <v>2</v>
      </c>
      <c r="J2">
        <v>0</v>
      </c>
      <c r="K2" s="13">
        <f t="shared" ref="K2:K16" si="0">C2*H2^2</f>
        <v>42.682427639787825</v>
      </c>
      <c r="O2">
        <v>0.33333333333333298</v>
      </c>
    </row>
    <row r="3" spans="1:15" x14ac:dyDescent="0.35">
      <c r="A3" s="13">
        <v>0.37155652681715701</v>
      </c>
      <c r="B3" s="13"/>
      <c r="C3" s="13">
        <v>1.09790922908117E-2</v>
      </c>
      <c r="D3">
        <v>0</v>
      </c>
      <c r="E3">
        <v>16</v>
      </c>
      <c r="F3">
        <f>O3</f>
        <v>0.33333333333333298</v>
      </c>
      <c r="G3">
        <v>0</v>
      </c>
      <c r="H3">
        <f>F3*A19-G3</f>
        <v>8.333333333333325</v>
      </c>
      <c r="I3">
        <v>3</v>
      </c>
      <c r="J3">
        <v>0</v>
      </c>
      <c r="K3" s="13">
        <f t="shared" si="0"/>
        <v>0.76243696463969979</v>
      </c>
      <c r="O3">
        <v>0.33333333333333298</v>
      </c>
    </row>
    <row r="4" spans="1:15" x14ac:dyDescent="0.35">
      <c r="A4" s="13">
        <v>0.38607963195405298</v>
      </c>
      <c r="B4" s="13"/>
      <c r="C4" s="13">
        <v>0.57326038326337203</v>
      </c>
      <c r="D4">
        <v>1</v>
      </c>
      <c r="E4">
        <v>14</v>
      </c>
      <c r="F4">
        <v>1</v>
      </c>
      <c r="G4">
        <f>A1</f>
        <v>1.1899485976191899</v>
      </c>
      <c r="H4">
        <f>F4*H1-G4</f>
        <v>7.1433847357141351</v>
      </c>
      <c r="I4">
        <v>1</v>
      </c>
      <c r="J4">
        <v>1</v>
      </c>
      <c r="K4" s="13">
        <f t="shared" si="0"/>
        <v>29.252299584402397</v>
      </c>
      <c r="O4">
        <v>0.5</v>
      </c>
    </row>
    <row r="5" spans="1:15" x14ac:dyDescent="0.35">
      <c r="A5" s="13">
        <v>0.683288209290283</v>
      </c>
      <c r="B5" s="13"/>
      <c r="C5" s="13">
        <v>0.78972985802576201</v>
      </c>
      <c r="D5">
        <v>2</v>
      </c>
      <c r="E5">
        <v>3</v>
      </c>
      <c r="F5">
        <v>1</v>
      </c>
      <c r="G5">
        <f>A2</f>
        <v>1.9243220620225201</v>
      </c>
      <c r="H5">
        <f>F5*H11-G5</f>
        <v>1.6473703058345475</v>
      </c>
      <c r="I5">
        <v>4</v>
      </c>
      <c r="J5">
        <v>11</v>
      </c>
      <c r="K5" s="13">
        <f t="shared" si="0"/>
        <v>2.1431917312874531</v>
      </c>
      <c r="O5">
        <v>0.5</v>
      </c>
    </row>
    <row r="6" spans="1:15" x14ac:dyDescent="0.35">
      <c r="A6" s="13">
        <v>1.8657957916361601</v>
      </c>
      <c r="B6" s="13"/>
      <c r="C6" s="13">
        <v>0.23536677315086901</v>
      </c>
      <c r="D6">
        <v>5</v>
      </c>
      <c r="E6">
        <v>6</v>
      </c>
      <c r="F6">
        <v>1</v>
      </c>
      <c r="G6">
        <f>A5</f>
        <v>0.683288209290283</v>
      </c>
      <c r="H6">
        <f>F6*H2-G6</f>
        <v>7.650045124043042</v>
      </c>
      <c r="I6">
        <v>2</v>
      </c>
      <c r="J6">
        <v>2</v>
      </c>
      <c r="K6" s="13">
        <f t="shared" si="0"/>
        <v>13.774414478917137</v>
      </c>
      <c r="O6">
        <v>0.5</v>
      </c>
    </row>
    <row r="7" spans="1:15" x14ac:dyDescent="0.35">
      <c r="A7" s="13">
        <v>0.78133507323519302</v>
      </c>
      <c r="B7" s="13"/>
      <c r="C7" s="13">
        <v>0.44801971346405101</v>
      </c>
      <c r="D7">
        <v>6</v>
      </c>
      <c r="E7">
        <v>7</v>
      </c>
      <c r="F7">
        <v>1</v>
      </c>
      <c r="G7">
        <f>A6</f>
        <v>1.8657957916361601</v>
      </c>
      <c r="H7">
        <f>F7*H6-G7</f>
        <v>5.7842493324068815</v>
      </c>
      <c r="I7">
        <v>2</v>
      </c>
      <c r="J7">
        <v>6</v>
      </c>
      <c r="K7" s="13">
        <f t="shared" si="0"/>
        <v>14.989637636092072</v>
      </c>
      <c r="O7">
        <v>0.5</v>
      </c>
    </row>
    <row r="8" spans="1:15" x14ac:dyDescent="0.35">
      <c r="A8" s="13">
        <v>0.54643341599992701</v>
      </c>
      <c r="B8" s="13"/>
      <c r="C8" s="13">
        <v>0.56935818328493204</v>
      </c>
      <c r="D8">
        <v>8</v>
      </c>
      <c r="E8">
        <v>15</v>
      </c>
      <c r="F8">
        <v>1</v>
      </c>
      <c r="G8">
        <f>A8</f>
        <v>0.54643341599992701</v>
      </c>
      <c r="H8">
        <f>F8*H15-G8</f>
        <v>3.6202332506667356</v>
      </c>
      <c r="I8">
        <v>5</v>
      </c>
      <c r="J8">
        <v>15</v>
      </c>
      <c r="K8" s="13">
        <f t="shared" si="0"/>
        <v>7.4620589030087379</v>
      </c>
      <c r="O8">
        <v>0.5</v>
      </c>
    </row>
    <row r="9" spans="1:15" x14ac:dyDescent="0.35">
      <c r="A9" s="13">
        <v>0.30389415969368799</v>
      </c>
      <c r="B9" s="13"/>
      <c r="C9" s="13">
        <v>6.1401442290847E-2</v>
      </c>
      <c r="D9">
        <v>11</v>
      </c>
      <c r="E9">
        <v>12</v>
      </c>
      <c r="F9">
        <v>1</v>
      </c>
      <c r="G9">
        <f>A11</f>
        <v>0.74944493390248501</v>
      </c>
      <c r="H9">
        <f>F9*H16-G9</f>
        <v>3.4172217327641774</v>
      </c>
      <c r="I9">
        <v>6</v>
      </c>
      <c r="J9">
        <v>16</v>
      </c>
      <c r="K9" s="13">
        <f t="shared" si="0"/>
        <v>0.71700947058521536</v>
      </c>
      <c r="O9">
        <v>0.5</v>
      </c>
    </row>
    <row r="10" spans="1:15" x14ac:dyDescent="0.35">
      <c r="A10" s="13">
        <v>0.79421768548690297</v>
      </c>
      <c r="B10" s="13"/>
      <c r="C10" s="13">
        <v>0.49628888563988499</v>
      </c>
      <c r="D10">
        <v>12</v>
      </c>
      <c r="E10">
        <v>13</v>
      </c>
      <c r="F10">
        <v>1</v>
      </c>
      <c r="G10">
        <f>A12</f>
        <v>0.26222941408601103</v>
      </c>
      <c r="H10">
        <f>F10*H9-G10</f>
        <v>3.1549923186781665</v>
      </c>
      <c r="I10">
        <v>6</v>
      </c>
      <c r="J10">
        <v>9</v>
      </c>
      <c r="K10" s="13">
        <f t="shared" si="0"/>
        <v>4.9400479202149779</v>
      </c>
    </row>
    <row r="11" spans="1:15" x14ac:dyDescent="0.35">
      <c r="A11" s="13">
        <v>0.74944493390248501</v>
      </c>
      <c r="B11" s="13"/>
      <c r="C11" s="13">
        <v>0.64231523458529904</v>
      </c>
      <c r="D11">
        <v>14</v>
      </c>
      <c r="E11">
        <v>2</v>
      </c>
      <c r="F11">
        <f>O4</f>
        <v>0.5</v>
      </c>
      <c r="G11">
        <v>0</v>
      </c>
      <c r="H11">
        <f>F11*H4-G11</f>
        <v>3.5716923678570676</v>
      </c>
      <c r="I11">
        <v>4</v>
      </c>
      <c r="J11">
        <v>4</v>
      </c>
      <c r="K11" s="13">
        <f t="shared" si="0"/>
        <v>8.1940066932388138</v>
      </c>
      <c r="O11" t="s">
        <v>29</v>
      </c>
    </row>
    <row r="12" spans="1:15" x14ac:dyDescent="0.35">
      <c r="A12" s="13">
        <v>0.26222941408601103</v>
      </c>
      <c r="B12" s="13"/>
      <c r="C12" s="13">
        <v>0.22126573012710499</v>
      </c>
      <c r="D12">
        <v>14</v>
      </c>
      <c r="E12">
        <v>4</v>
      </c>
      <c r="F12">
        <f>O5</f>
        <v>0.5</v>
      </c>
      <c r="G12">
        <v>0</v>
      </c>
      <c r="H12">
        <f>F12*H4-G12</f>
        <v>3.5716923678570676</v>
      </c>
      <c r="I12">
        <v>7</v>
      </c>
      <c r="J12">
        <v>4</v>
      </c>
      <c r="K12" s="13">
        <f t="shared" si="0"/>
        <v>2.8226839035142004</v>
      </c>
    </row>
    <row r="13" spans="1:15" x14ac:dyDescent="0.35">
      <c r="A13" s="13">
        <v>0.87008143579125397</v>
      </c>
      <c r="B13" s="13"/>
      <c r="C13" s="13">
        <v>0.83705644553188097</v>
      </c>
      <c r="D13">
        <v>15</v>
      </c>
      <c r="E13">
        <v>9</v>
      </c>
      <c r="F13">
        <f>O6</f>
        <v>0.5</v>
      </c>
      <c r="G13">
        <v>0</v>
      </c>
      <c r="H13">
        <f>F13*H8-G13</f>
        <v>1.8101166253333678</v>
      </c>
      <c r="I13">
        <v>8</v>
      </c>
      <c r="J13">
        <v>8</v>
      </c>
      <c r="K13" s="13">
        <f t="shared" si="0"/>
        <v>2.7426340241851603</v>
      </c>
    </row>
    <row r="14" spans="1:15" x14ac:dyDescent="0.35">
      <c r="A14" s="13"/>
      <c r="B14" s="13"/>
      <c r="C14" s="13">
        <v>0.97107523144251395</v>
      </c>
      <c r="D14">
        <v>15</v>
      </c>
      <c r="E14" s="14">
        <v>10</v>
      </c>
      <c r="F14">
        <f>O7</f>
        <v>0.5</v>
      </c>
      <c r="G14">
        <v>0</v>
      </c>
      <c r="H14">
        <f>F14*H8-G14</f>
        <v>1.8101166253333678</v>
      </c>
      <c r="I14">
        <v>9</v>
      </c>
      <c r="J14">
        <v>8</v>
      </c>
      <c r="K14" s="13">
        <f t="shared" si="0"/>
        <v>3.1817495510776528</v>
      </c>
    </row>
    <row r="15" spans="1:15" x14ac:dyDescent="0.35">
      <c r="A15" s="13"/>
      <c r="B15" s="13"/>
      <c r="C15" s="13">
        <v>0.84637288769317298</v>
      </c>
      <c r="D15">
        <v>16</v>
      </c>
      <c r="E15" s="14">
        <v>8</v>
      </c>
      <c r="F15">
        <f>O8</f>
        <v>0.5</v>
      </c>
      <c r="G15">
        <v>0</v>
      </c>
      <c r="H15">
        <f>F15*H3-G15</f>
        <v>4.1666666666666625</v>
      </c>
      <c r="I15">
        <v>5</v>
      </c>
      <c r="J15">
        <v>3</v>
      </c>
      <c r="K15" s="13">
        <f t="shared" si="0"/>
        <v>14.693973744673112</v>
      </c>
    </row>
    <row r="16" spans="1:15" x14ac:dyDescent="0.35">
      <c r="A16" s="13"/>
      <c r="B16" s="13"/>
      <c r="C16" s="13">
        <v>0.50599945589054796</v>
      </c>
      <c r="D16">
        <v>16</v>
      </c>
      <c r="E16" s="14">
        <v>11</v>
      </c>
      <c r="F16">
        <f>O9</f>
        <v>0.5</v>
      </c>
      <c r="G16">
        <v>0</v>
      </c>
      <c r="H16">
        <f>F16*H3-G16</f>
        <v>4.1666666666666625</v>
      </c>
      <c r="I16">
        <v>6</v>
      </c>
      <c r="J16">
        <v>3</v>
      </c>
      <c r="K16" s="13">
        <f t="shared" si="0"/>
        <v>8.7847127758775496</v>
      </c>
    </row>
    <row r="17" spans="1:13" x14ac:dyDescent="0.35">
      <c r="C17" t="s">
        <v>30</v>
      </c>
      <c r="D17" t="s">
        <v>31</v>
      </c>
      <c r="E17" s="13" t="s">
        <v>32</v>
      </c>
      <c r="F17" t="s">
        <v>29</v>
      </c>
      <c r="G17" t="s">
        <v>33</v>
      </c>
      <c r="H17" t="s">
        <v>20</v>
      </c>
      <c r="I17" t="s">
        <v>34</v>
      </c>
      <c r="J17" t="s">
        <v>35</v>
      </c>
      <c r="K17" t="s">
        <v>36</v>
      </c>
    </row>
    <row r="18" spans="1:13" x14ac:dyDescent="0.35">
      <c r="A18" t="s">
        <v>9</v>
      </c>
      <c r="E18" s="13"/>
    </row>
    <row r="19" spans="1:13" x14ac:dyDescent="0.35">
      <c r="A19">
        <v>25</v>
      </c>
      <c r="C19">
        <v>3</v>
      </c>
      <c r="D19">
        <v>0.37384766583998202</v>
      </c>
      <c r="E19" s="13"/>
    </row>
    <row r="20" spans="1:13" x14ac:dyDescent="0.35">
      <c r="C20">
        <v>4</v>
      </c>
      <c r="D20">
        <v>0.58158208321286597</v>
      </c>
      <c r="E20" s="13"/>
      <c r="M20" t="s">
        <v>39</v>
      </c>
    </row>
    <row r="21" spans="1:13" x14ac:dyDescent="0.35">
      <c r="C21">
        <v>9</v>
      </c>
      <c r="D21">
        <v>0.1161185127794</v>
      </c>
      <c r="E21" s="13"/>
      <c r="I21" t="s">
        <v>37</v>
      </c>
      <c r="J21" t="s">
        <v>38</v>
      </c>
      <c r="M21" s="15">
        <f>SUM(O1:O3)-1</f>
        <v>-1.1102230246251565E-15</v>
      </c>
    </row>
    <row r="22" spans="1:13" x14ac:dyDescent="0.35">
      <c r="C22">
        <v>10</v>
      </c>
      <c r="D22">
        <v>5.7654361214872198E-2</v>
      </c>
      <c r="E22" s="13"/>
      <c r="H22">
        <v>1</v>
      </c>
      <c r="I22">
        <f>2^1*(K4+J25+J28)</f>
        <v>117.58672330408073</v>
      </c>
      <c r="J22">
        <f>I22+K1</f>
        <v>123.94180436051202</v>
      </c>
      <c r="M22">
        <f>SUM(O4:O5)-1</f>
        <v>0</v>
      </c>
    </row>
    <row r="23" spans="1:13" x14ac:dyDescent="0.35">
      <c r="C23">
        <v>13</v>
      </c>
      <c r="D23">
        <v>0.97976522397598698</v>
      </c>
      <c r="E23" s="13"/>
      <c r="H23">
        <v>2</v>
      </c>
      <c r="I23">
        <f>2^3*D24*(H7-A7)^2</f>
        <v>57.03116873663933</v>
      </c>
      <c r="J23">
        <f>I23+2^2*K7+2^1*K6+2^0*K2</f>
        <v>187.2209758786297</v>
      </c>
      <c r="M23">
        <f>SUM(O6:O7)-1</f>
        <v>0</v>
      </c>
    </row>
    <row r="24" spans="1:13" x14ac:dyDescent="0.35">
      <c r="C24">
        <v>7</v>
      </c>
      <c r="D24">
        <v>0.28482372686061802</v>
      </c>
      <c r="H24">
        <v>3</v>
      </c>
      <c r="I24">
        <f>2^0*(K3+J26+J27)</f>
        <v>114.42138838989337</v>
      </c>
      <c r="J24">
        <f>I24</f>
        <v>114.42138838989337</v>
      </c>
      <c r="M24">
        <f>SUM(O8:O9)-1</f>
        <v>0</v>
      </c>
    </row>
    <row r="25" spans="1:13" x14ac:dyDescent="0.35">
      <c r="H25">
        <v>4</v>
      </c>
      <c r="I25">
        <f>2^2*D19*(H5-A3)^2</f>
        <v>2.4340485771652891</v>
      </c>
      <c r="J25">
        <f>I25+2^1*K5+2^0*K11</f>
        <v>14.91443873297901</v>
      </c>
      <c r="M25">
        <f>J22-J23</f>
        <v>-63.279171518117678</v>
      </c>
    </row>
    <row r="26" spans="1:13" x14ac:dyDescent="0.35">
      <c r="H26">
        <v>5</v>
      </c>
      <c r="I26">
        <f>2^1*(K8+J29+J30)</f>
        <v>28.064648962283755</v>
      </c>
      <c r="J26">
        <f>I26+K15</f>
        <v>42.758622706956871</v>
      </c>
      <c r="M26">
        <f>J22-J24</f>
        <v>9.5204159706186573</v>
      </c>
    </row>
    <row r="27" spans="1:13" x14ac:dyDescent="0.35">
      <c r="H27">
        <v>6</v>
      </c>
      <c r="I27">
        <f>2^3*D23*(H10-A13)^2</f>
        <v>40.921405320388899</v>
      </c>
      <c r="J27">
        <f>I27+2^2*K10+2^1*K9+2^0*K16</f>
        <v>70.900328718296791</v>
      </c>
      <c r="M27">
        <f>J25-J28</f>
        <v>0.28781539832005087</v>
      </c>
    </row>
    <row r="28" spans="1:13" x14ac:dyDescent="0.35">
      <c r="H28">
        <v>7</v>
      </c>
      <c r="I28">
        <f>2^1*D20*(H12-A4)^2</f>
        <v>11.803939431144759</v>
      </c>
      <c r="J28">
        <f>I28+2^0*K12</f>
        <v>14.626623334658959</v>
      </c>
      <c r="M28">
        <f>J26-J27</f>
        <v>-28.14170601133992</v>
      </c>
    </row>
    <row r="29" spans="1:13" x14ac:dyDescent="0.35">
      <c r="H29">
        <v>8</v>
      </c>
      <c r="I29">
        <f>2^1*D21*(H13-A9)^2</f>
        <v>0.52687756024635835</v>
      </c>
      <c r="J29">
        <f>I29+2^0*K13</f>
        <v>3.2695115844315188</v>
      </c>
      <c r="M29">
        <f>J29-J30</f>
        <v>-3.1242409270102467E-2</v>
      </c>
    </row>
    <row r="30" spans="1:13" x14ac:dyDescent="0.35">
      <c r="H30">
        <v>9</v>
      </c>
      <c r="I30">
        <f>2^1*D22*(H14-A10)^2</f>
        <v>0.1190044426239685</v>
      </c>
      <c r="J30">
        <f>I30+2^0*K14</f>
        <v>3.3007539937016213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CEBC-39D8-4F4D-AA28-D26A82C9DE5D}">
  <dimension ref="A1:AC49"/>
  <sheetViews>
    <sheetView topLeftCell="C25" workbookViewId="0">
      <selection activeCell="N18" sqref="N18"/>
    </sheetView>
  </sheetViews>
  <sheetFormatPr defaultRowHeight="14.5" x14ac:dyDescent="0.35"/>
  <sheetData>
    <row r="1" spans="1:29" x14ac:dyDescent="0.35">
      <c r="F1" t="s">
        <v>15</v>
      </c>
      <c r="G1" t="s">
        <v>16</v>
      </c>
      <c r="H1" t="s">
        <v>14</v>
      </c>
      <c r="K1" t="s">
        <v>17</v>
      </c>
      <c r="N1" t="s">
        <v>18</v>
      </c>
      <c r="Q1" t="s">
        <v>19</v>
      </c>
      <c r="T1" t="s">
        <v>20</v>
      </c>
      <c r="W1" t="s">
        <v>21</v>
      </c>
      <c r="Z1" t="s">
        <v>22</v>
      </c>
      <c r="AC1" t="s">
        <v>23</v>
      </c>
    </row>
    <row r="2" spans="1:29" x14ac:dyDescent="0.35">
      <c r="A2">
        <v>1</v>
      </c>
      <c r="B2">
        <v>1</v>
      </c>
      <c r="C2">
        <v>0</v>
      </c>
      <c r="D2">
        <v>0</v>
      </c>
      <c r="F2">
        <v>4</v>
      </c>
      <c r="G2">
        <v>-10</v>
      </c>
      <c r="H2">
        <v>0</v>
      </c>
      <c r="I2">
        <v>0</v>
      </c>
      <c r="J2">
        <v>0</v>
      </c>
      <c r="N2">
        <f t="shared" ref="N2:N11" si="0">H2*K2*PI()</f>
        <v>0</v>
      </c>
      <c r="O2">
        <f t="shared" ref="O2:O11" si="1">I2*L2*PI()</f>
        <v>0</v>
      </c>
      <c r="P2">
        <f t="shared" ref="P2:P11" si="2">J2*M2*PI()</f>
        <v>0</v>
      </c>
      <c r="Q2">
        <f>N2*$B$19</f>
        <v>0</v>
      </c>
      <c r="R2">
        <f t="shared" ref="R2:S2" si="3">O2*$B$19</f>
        <v>0</v>
      </c>
      <c r="S2">
        <f t="shared" si="3"/>
        <v>0</v>
      </c>
      <c r="W2" t="e">
        <f t="shared" ref="W2:W11" si="4">T2*$B$25/(T2*$B$25+Q2)*$B$26+Q2/(T2*$B$25+Q2)*$B$18</f>
        <v>#DIV/0!</v>
      </c>
      <c r="X2" t="e">
        <f t="shared" ref="X2:X11" si="5">U2*$B$25/(U2*$B$25+R2)*$B$26+R2/(U2*$B$25+R2)*$B$18</f>
        <v>#DIV/0!</v>
      </c>
      <c r="Y2" t="e">
        <f t="shared" ref="Y2:Y11" si="6">V2*$B$25/(V2*$B$25+S2)*$B$26+S2/(V2*$B$25+S2)*$B$18</f>
        <v>#DIV/0!</v>
      </c>
      <c r="Z2">
        <v>0</v>
      </c>
      <c r="AA2">
        <v>0</v>
      </c>
      <c r="AB2">
        <v>0</v>
      </c>
      <c r="AC2">
        <f>SUM(Z2:AB2)</f>
        <v>0</v>
      </c>
    </row>
    <row r="3" spans="1:29" x14ac:dyDescent="0.35">
      <c r="A3">
        <v>2</v>
      </c>
      <c r="B3">
        <v>2</v>
      </c>
      <c r="C3">
        <v>0</v>
      </c>
      <c r="D3">
        <v>0</v>
      </c>
      <c r="F3">
        <v>-10</v>
      </c>
      <c r="G3">
        <v>-8</v>
      </c>
      <c r="H3">
        <v>0</v>
      </c>
      <c r="I3">
        <v>0</v>
      </c>
      <c r="J3">
        <v>0</v>
      </c>
      <c r="N3">
        <f t="shared" si="0"/>
        <v>0</v>
      </c>
      <c r="O3">
        <f t="shared" si="1"/>
        <v>0</v>
      </c>
      <c r="P3">
        <f t="shared" si="2"/>
        <v>0</v>
      </c>
      <c r="Q3">
        <f t="shared" ref="Q3:Q11" si="7">N3*$B$19</f>
        <v>0</v>
      </c>
      <c r="R3">
        <f t="shared" ref="R3:R11" si="8">O3*$B$19</f>
        <v>0</v>
      </c>
      <c r="S3">
        <f t="shared" ref="S3:S11" si="9">P3*$B$19</f>
        <v>0</v>
      </c>
      <c r="W3" t="e">
        <f t="shared" si="4"/>
        <v>#DIV/0!</v>
      </c>
      <c r="X3" t="e">
        <f t="shared" si="5"/>
        <v>#DIV/0!</v>
      </c>
      <c r="Y3" t="e">
        <f t="shared" si="6"/>
        <v>#DIV/0!</v>
      </c>
      <c r="Z3">
        <v>0</v>
      </c>
      <c r="AA3">
        <v>0</v>
      </c>
      <c r="AB3">
        <v>0</v>
      </c>
      <c r="AC3">
        <f t="shared" ref="AC3:AC8" si="10">SUM(Z3:AB3)</f>
        <v>0</v>
      </c>
    </row>
    <row r="4" spans="1:29" x14ac:dyDescent="0.35">
      <c r="A4">
        <v>3</v>
      </c>
      <c r="B4">
        <v>3</v>
      </c>
      <c r="C4">
        <v>0</v>
      </c>
      <c r="D4">
        <v>0</v>
      </c>
      <c r="F4">
        <v>-5</v>
      </c>
      <c r="G4">
        <v>7</v>
      </c>
      <c r="H4">
        <v>0</v>
      </c>
      <c r="I4">
        <v>0</v>
      </c>
      <c r="J4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7"/>
        <v>0</v>
      </c>
      <c r="R4">
        <f t="shared" si="8"/>
        <v>0</v>
      </c>
      <c r="S4">
        <f t="shared" si="9"/>
        <v>0</v>
      </c>
      <c r="W4" t="e">
        <f t="shared" si="4"/>
        <v>#DIV/0!</v>
      </c>
      <c r="X4" t="e">
        <f t="shared" si="5"/>
        <v>#DIV/0!</v>
      </c>
      <c r="Y4" t="e">
        <f t="shared" si="6"/>
        <v>#DIV/0!</v>
      </c>
      <c r="Z4">
        <v>0</v>
      </c>
      <c r="AA4">
        <v>0</v>
      </c>
      <c r="AB4">
        <v>0</v>
      </c>
      <c r="AC4">
        <f t="shared" si="10"/>
        <v>0</v>
      </c>
    </row>
    <row r="5" spans="1:29" x14ac:dyDescent="0.35">
      <c r="A5">
        <v>4</v>
      </c>
      <c r="B5">
        <v>2</v>
      </c>
      <c r="C5">
        <v>1</v>
      </c>
      <c r="D5">
        <v>0</v>
      </c>
      <c r="F5">
        <v>-3</v>
      </c>
      <c r="G5">
        <v>-9</v>
      </c>
      <c r="H5">
        <f>SQRT((F5-F3)^2+(G5-G3)^2)</f>
        <v>7.0710678118654755</v>
      </c>
      <c r="I5">
        <f>SQRT((F5-F2)^2+(G5-G2)^2)</f>
        <v>7.0710678118654755</v>
      </c>
      <c r="J5">
        <v>0</v>
      </c>
      <c r="K5">
        <f>B21</f>
        <v>0.15</v>
      </c>
      <c r="L5">
        <f>B21</f>
        <v>0.15</v>
      </c>
      <c r="N5">
        <f t="shared" si="0"/>
        <v>3.3321622036187741</v>
      </c>
      <c r="O5">
        <f t="shared" si="1"/>
        <v>3.3321622036187741</v>
      </c>
      <c r="P5">
        <f t="shared" si="2"/>
        <v>0</v>
      </c>
      <c r="Q5">
        <f>N5*$B$19</f>
        <v>4.9982433054281614</v>
      </c>
      <c r="R5">
        <f t="shared" si="8"/>
        <v>4.9982433054281614</v>
      </c>
      <c r="S5">
        <f t="shared" si="9"/>
        <v>0</v>
      </c>
      <c r="T5">
        <f>B22/3</f>
        <v>6.666666666666667</v>
      </c>
      <c r="U5">
        <f>B22/3</f>
        <v>6.666666666666667</v>
      </c>
      <c r="W5">
        <f t="shared" si="4"/>
        <v>77.985958472807852</v>
      </c>
      <c r="X5">
        <f t="shared" si="5"/>
        <v>77.985958472807852</v>
      </c>
      <c r="Y5" t="e">
        <f t="shared" si="6"/>
        <v>#DIV/0!</v>
      </c>
      <c r="Z5">
        <f>T5*$B$25*($B$26-W5)</f>
        <v>389.79279485403822</v>
      </c>
      <c r="AA5">
        <f t="shared" ref="AA5:AA11" si="11">U5*$B$25*($B$26-X5)</f>
        <v>389.79279485403822</v>
      </c>
      <c r="AB5">
        <v>0</v>
      </c>
      <c r="AC5">
        <f t="shared" si="10"/>
        <v>779.58558970807644</v>
      </c>
    </row>
    <row r="6" spans="1:29" x14ac:dyDescent="0.35">
      <c r="A6">
        <v>5</v>
      </c>
      <c r="B6">
        <v>3</v>
      </c>
      <c r="C6">
        <v>1</v>
      </c>
      <c r="D6">
        <v>0</v>
      </c>
      <c r="F6">
        <v>-0.5</v>
      </c>
      <c r="G6">
        <v>-1.5</v>
      </c>
      <c r="H6">
        <f>SQRT((F6-F4)^2+(G6-G4)^2)</f>
        <v>9.6176920308356717</v>
      </c>
      <c r="I6">
        <f>SQRT((F6-F2)^2+(G6-G2)^2)</f>
        <v>9.6176920308356717</v>
      </c>
      <c r="J6">
        <v>0</v>
      </c>
      <c r="K6">
        <f>B21</f>
        <v>0.15</v>
      </c>
      <c r="L6">
        <f>B21</f>
        <v>0.15</v>
      </c>
      <c r="N6">
        <f t="shared" si="0"/>
        <v>4.5322305942843668</v>
      </c>
      <c r="O6">
        <f t="shared" si="1"/>
        <v>4.5322305942843668</v>
      </c>
      <c r="P6">
        <f t="shared" si="2"/>
        <v>0</v>
      </c>
      <c r="Q6">
        <f t="shared" si="7"/>
        <v>6.7983458914265498</v>
      </c>
      <c r="R6">
        <f t="shared" si="8"/>
        <v>6.7983458914265498</v>
      </c>
      <c r="S6">
        <f t="shared" si="9"/>
        <v>0</v>
      </c>
      <c r="T6">
        <f>B22/3</f>
        <v>6.666666666666667</v>
      </c>
      <c r="U6">
        <f>B22/3</f>
        <v>6.666666666666667</v>
      </c>
      <c r="W6">
        <f t="shared" si="4"/>
        <v>77.980902696345254</v>
      </c>
      <c r="X6">
        <f t="shared" si="5"/>
        <v>77.980902696345254</v>
      </c>
      <c r="Y6" t="e">
        <f t="shared" si="6"/>
        <v>#DIV/0!</v>
      </c>
      <c r="Z6">
        <f t="shared" ref="Z6:Z11" si="12">T6*$B$25*($B$26-W6)</f>
        <v>530.14114945575329</v>
      </c>
      <c r="AA6">
        <f t="shared" si="11"/>
        <v>530.14114945575329</v>
      </c>
      <c r="AB6">
        <v>0</v>
      </c>
      <c r="AC6">
        <f t="shared" si="10"/>
        <v>1060.2822989115066</v>
      </c>
    </row>
    <row r="7" spans="1:29" x14ac:dyDescent="0.35">
      <c r="A7">
        <v>6</v>
      </c>
      <c r="B7">
        <v>3</v>
      </c>
      <c r="C7">
        <v>2</v>
      </c>
      <c r="D7">
        <v>0</v>
      </c>
      <c r="F7">
        <v>-7.5</v>
      </c>
      <c r="G7">
        <v>-0.5</v>
      </c>
      <c r="H7">
        <f>SQRT((F7-F4)^2+(G7-G4)^2)</f>
        <v>7.9056941504209481</v>
      </c>
      <c r="I7">
        <f>SQRT((F7-F3)^2+(G7-G3)^2)</f>
        <v>7.9056941504209481</v>
      </c>
      <c r="J7">
        <v>0</v>
      </c>
      <c r="K7">
        <f>B21</f>
        <v>0.15</v>
      </c>
      <c r="L7">
        <f>B21</f>
        <v>0.15</v>
      </c>
      <c r="N7">
        <f t="shared" si="0"/>
        <v>3.725470599673538</v>
      </c>
      <c r="O7">
        <f t="shared" si="1"/>
        <v>3.725470599673538</v>
      </c>
      <c r="P7">
        <f t="shared" si="2"/>
        <v>0</v>
      </c>
      <c r="Q7">
        <f t="shared" si="7"/>
        <v>5.5882058995103066</v>
      </c>
      <c r="R7">
        <f t="shared" si="8"/>
        <v>5.5882058995103066</v>
      </c>
      <c r="S7">
        <f t="shared" si="9"/>
        <v>0</v>
      </c>
      <c r="T7">
        <f>B22/3</f>
        <v>6.666666666666667</v>
      </c>
      <c r="U7">
        <f>B22/3</f>
        <v>6.666666666666667</v>
      </c>
      <c r="W7">
        <f t="shared" si="4"/>
        <v>77.984301428915188</v>
      </c>
      <c r="X7">
        <f t="shared" si="5"/>
        <v>77.984301428915188</v>
      </c>
      <c r="Y7" t="e">
        <f t="shared" si="6"/>
        <v>#DIV/0!</v>
      </c>
      <c r="Z7">
        <f t="shared" si="12"/>
        <v>435.79233331437763</v>
      </c>
      <c r="AA7">
        <f t="shared" si="11"/>
        <v>435.79233331437763</v>
      </c>
      <c r="AB7">
        <v>0</v>
      </c>
      <c r="AC7">
        <f t="shared" si="10"/>
        <v>871.58466662875526</v>
      </c>
    </row>
    <row r="8" spans="1:29" x14ac:dyDescent="0.35">
      <c r="A8">
        <v>7</v>
      </c>
      <c r="B8">
        <v>3</v>
      </c>
      <c r="C8">
        <v>2</v>
      </c>
      <c r="D8">
        <v>1</v>
      </c>
      <c r="F8">
        <v>-3.6666666666666701</v>
      </c>
      <c r="G8">
        <v>-3.6666666666666701</v>
      </c>
      <c r="H8">
        <f>SQRT((F8-F4)^2+(G8-G4)^2)</f>
        <v>10.749676997731402</v>
      </c>
      <c r="I8">
        <f>SQRT((F8-F3)^2+(G8-G3)^2)</f>
        <v>7.6739096221475549</v>
      </c>
      <c r="J8">
        <f>SQRT((F8-F2)^2+(G8-G2)^2)</f>
        <v>9.9442892601175323</v>
      </c>
      <c r="K8">
        <f>B21</f>
        <v>0.15</v>
      </c>
      <c r="L8">
        <f>B21</f>
        <v>0.15</v>
      </c>
      <c r="M8">
        <f>B21</f>
        <v>0.15</v>
      </c>
      <c r="N8">
        <f t="shared" si="0"/>
        <v>5.0656659426804236</v>
      </c>
      <c r="O8">
        <f t="shared" si="1"/>
        <v>3.6162447139876175</v>
      </c>
      <c r="P8">
        <f t="shared" si="2"/>
        <v>4.6861359127135671</v>
      </c>
      <c r="Q8">
        <f t="shared" si="7"/>
        <v>7.5984989140206354</v>
      </c>
      <c r="R8">
        <f t="shared" si="8"/>
        <v>5.4243670709814262</v>
      </c>
      <c r="S8">
        <f t="shared" si="9"/>
        <v>7.0292038690703507</v>
      </c>
      <c r="T8">
        <f>B22/3</f>
        <v>6.666666666666667</v>
      </c>
      <c r="U8">
        <f>B22/3</f>
        <v>6.666666666666667</v>
      </c>
      <c r="V8">
        <f>B22/3</f>
        <v>6.666666666666667</v>
      </c>
      <c r="W8">
        <f t="shared" si="4"/>
        <v>77.97865559330539</v>
      </c>
      <c r="X8">
        <f t="shared" si="5"/>
        <v>77.984761600401171</v>
      </c>
      <c r="Y8">
        <f t="shared" si="6"/>
        <v>77.980254354984751</v>
      </c>
      <c r="Z8">
        <f t="shared" si="12"/>
        <v>592.52072984236179</v>
      </c>
      <c r="AA8">
        <f t="shared" si="11"/>
        <v>423.01797286348688</v>
      </c>
      <c r="AB8">
        <f t="shared" ref="AB8" si="13">V8*$B$25*($B$26-Y8)</f>
        <v>548.13910562330307</v>
      </c>
      <c r="AC8">
        <f t="shared" si="10"/>
        <v>1563.6778083291517</v>
      </c>
    </row>
    <row r="9" spans="1:29" x14ac:dyDescent="0.35">
      <c r="A9">
        <v>8</v>
      </c>
      <c r="B9">
        <v>4</v>
      </c>
      <c r="C9">
        <v>3</v>
      </c>
      <c r="D9">
        <v>0</v>
      </c>
      <c r="F9">
        <v>-4</v>
      </c>
      <c r="G9">
        <v>-1</v>
      </c>
      <c r="H9">
        <f>SQRT((F9-F5)^2+(G9-G5)^2)</f>
        <v>8.0622577482985491</v>
      </c>
      <c r="I9">
        <f>SQRT((F9-F4)^2+(G9-G4)^2)</f>
        <v>8.0622577482985491</v>
      </c>
      <c r="J9">
        <v>0</v>
      </c>
      <c r="K9">
        <f>B20</f>
        <v>0.4</v>
      </c>
      <c r="L9">
        <f>B21</f>
        <v>0.15</v>
      </c>
      <c r="N9">
        <f t="shared" si="0"/>
        <v>10.131331885360844</v>
      </c>
      <c r="O9">
        <f t="shared" si="1"/>
        <v>3.7992494570103164</v>
      </c>
      <c r="P9">
        <f t="shared" si="2"/>
        <v>0</v>
      </c>
      <c r="Q9">
        <f t="shared" si="7"/>
        <v>15.196997828041265</v>
      </c>
      <c r="R9">
        <f t="shared" si="8"/>
        <v>5.698874185515475</v>
      </c>
      <c r="S9">
        <f t="shared" si="9"/>
        <v>0</v>
      </c>
      <c r="T9">
        <f>2*B22/3</f>
        <v>13.333333333333334</v>
      </c>
      <c r="U9">
        <f>B22/3</f>
        <v>6.666666666666667</v>
      </c>
      <c r="W9">
        <f t="shared" si="4"/>
        <v>77.97865559330539</v>
      </c>
      <c r="X9">
        <f t="shared" si="5"/>
        <v>77.983990599750996</v>
      </c>
      <c r="Y9" t="e">
        <f t="shared" si="6"/>
        <v>#DIV/0!</v>
      </c>
      <c r="Z9">
        <f t="shared" si="12"/>
        <v>1185.0414596847236</v>
      </c>
      <c r="AA9">
        <f t="shared" si="11"/>
        <v>444.42095091235387</v>
      </c>
      <c r="AB9">
        <v>0</v>
      </c>
      <c r="AC9">
        <f>SUM(Z9:AB9,AC5)</f>
        <v>2409.0480003051539</v>
      </c>
    </row>
    <row r="10" spans="1:29" x14ac:dyDescent="0.35">
      <c r="A10">
        <v>9</v>
      </c>
      <c r="B10">
        <v>5</v>
      </c>
      <c r="C10">
        <v>2</v>
      </c>
      <c r="D10">
        <v>0</v>
      </c>
      <c r="F10">
        <v>-5.25</v>
      </c>
      <c r="G10">
        <v>-4.75</v>
      </c>
      <c r="H10">
        <f>SQRT((F10-F6)^2+(G10-G6)^2)</f>
        <v>5.7554322166106688</v>
      </c>
      <c r="I10">
        <f>SQRT((F10-F3)^2+(G10-G3)^2)</f>
        <v>5.7554322166106688</v>
      </c>
      <c r="J10">
        <v>0</v>
      </c>
      <c r="K10">
        <f>B20</f>
        <v>0.4</v>
      </c>
      <c r="L10">
        <f>B21</f>
        <v>0.15</v>
      </c>
      <c r="N10">
        <f t="shared" si="0"/>
        <v>7.2324894279752385</v>
      </c>
      <c r="O10">
        <f t="shared" si="1"/>
        <v>2.7121835354907144</v>
      </c>
      <c r="P10">
        <f t="shared" si="2"/>
        <v>0</v>
      </c>
      <c r="Q10">
        <f t="shared" si="7"/>
        <v>10.848734141962858</v>
      </c>
      <c r="R10">
        <f t="shared" si="8"/>
        <v>4.0682753032360717</v>
      </c>
      <c r="S10">
        <f t="shared" si="9"/>
        <v>0</v>
      </c>
      <c r="T10">
        <f>2*B22/3</f>
        <v>13.333333333333334</v>
      </c>
      <c r="U10">
        <f>B22/3</f>
        <v>6.666666666666667</v>
      </c>
      <c r="W10">
        <f t="shared" si="4"/>
        <v>77.984761600401171</v>
      </c>
      <c r="X10">
        <f t="shared" si="5"/>
        <v>77.988570642079338</v>
      </c>
      <c r="Y10" t="e">
        <f t="shared" si="6"/>
        <v>#DIV/0!</v>
      </c>
      <c r="Z10">
        <f t="shared" si="12"/>
        <v>846.03594572697375</v>
      </c>
      <c r="AA10">
        <f t="shared" si="11"/>
        <v>317.27897587756843</v>
      </c>
      <c r="AB10">
        <v>0</v>
      </c>
      <c r="AC10">
        <f>SUM(Z10:AB10,AC6)</f>
        <v>2223.5972205160488</v>
      </c>
    </row>
    <row r="11" spans="1:29" x14ac:dyDescent="0.35">
      <c r="A11">
        <v>10</v>
      </c>
      <c r="B11">
        <v>6</v>
      </c>
      <c r="C11">
        <v>1</v>
      </c>
      <c r="D11">
        <v>0</v>
      </c>
      <c r="F11">
        <v>-1.75</v>
      </c>
      <c r="G11">
        <v>-5.25</v>
      </c>
      <c r="H11">
        <f>SQRT((F11-F7)^2+(G11-G7)^2)</f>
        <v>7.4582169450881493</v>
      </c>
      <c r="I11">
        <f>SQRT((F11-F2)^2+(G11-G2)^2)</f>
        <v>7.4582169450881493</v>
      </c>
      <c r="J11">
        <v>0</v>
      </c>
      <c r="K11">
        <f>B20</f>
        <v>0.4</v>
      </c>
      <c r="L11">
        <f>B21</f>
        <v>0.15</v>
      </c>
      <c r="N11">
        <f t="shared" si="0"/>
        <v>9.372271825427136</v>
      </c>
      <c r="O11">
        <f t="shared" si="1"/>
        <v>3.5146019345351758</v>
      </c>
      <c r="P11">
        <f t="shared" si="2"/>
        <v>0</v>
      </c>
      <c r="Q11">
        <f t="shared" si="7"/>
        <v>14.058407738140705</v>
      </c>
      <c r="R11">
        <f t="shared" si="8"/>
        <v>5.2719029018027639</v>
      </c>
      <c r="S11">
        <f t="shared" si="9"/>
        <v>0</v>
      </c>
      <c r="T11">
        <f>2*B22/3</f>
        <v>13.333333333333334</v>
      </c>
      <c r="U11">
        <f>B22/3</f>
        <v>6.666666666666667</v>
      </c>
      <c r="W11">
        <f t="shared" si="4"/>
        <v>77.980254354984751</v>
      </c>
      <c r="X11">
        <f t="shared" si="5"/>
        <v>77.985189828942467</v>
      </c>
      <c r="Y11" t="e">
        <f t="shared" si="6"/>
        <v>#DIV/0!</v>
      </c>
      <c r="Z11">
        <f t="shared" si="12"/>
        <v>1096.2782112466061</v>
      </c>
      <c r="AA11">
        <f t="shared" si="11"/>
        <v>411.13034855712272</v>
      </c>
      <c r="AB11">
        <v>0</v>
      </c>
      <c r="AC11">
        <f>SUM(Z11:AB11,AC7)</f>
        <v>2378.9932264324843</v>
      </c>
    </row>
    <row r="13" spans="1:29" x14ac:dyDescent="0.35">
      <c r="F13">
        <v>0</v>
      </c>
      <c r="G13">
        <v>0</v>
      </c>
    </row>
    <row r="16" spans="1:29" x14ac:dyDescent="0.35">
      <c r="A16" t="s">
        <v>4</v>
      </c>
      <c r="B16">
        <v>80</v>
      </c>
    </row>
    <row r="17" spans="1:12" x14ac:dyDescent="0.35">
      <c r="A17" t="s">
        <v>5</v>
      </c>
      <c r="B17">
        <v>2</v>
      </c>
    </row>
    <row r="18" spans="1:12" x14ac:dyDescent="0.35">
      <c r="A18" t="s">
        <v>6</v>
      </c>
      <c r="B18">
        <v>0</v>
      </c>
    </row>
    <row r="19" spans="1:12" x14ac:dyDescent="0.35">
      <c r="A19" t="s">
        <v>7</v>
      </c>
      <c r="B19">
        <v>1.5</v>
      </c>
    </row>
    <row r="20" spans="1:12" x14ac:dyDescent="0.35">
      <c r="A20" t="s">
        <v>24</v>
      </c>
      <c r="B20">
        <v>0.4</v>
      </c>
    </row>
    <row r="21" spans="1:12" x14ac:dyDescent="0.35">
      <c r="A21" t="s">
        <v>8</v>
      </c>
      <c r="B21">
        <v>0.15</v>
      </c>
    </row>
    <row r="22" spans="1:12" x14ac:dyDescent="0.35">
      <c r="A22" t="s">
        <v>9</v>
      </c>
      <c r="B22">
        <v>20</v>
      </c>
    </row>
    <row r="23" spans="1:12" x14ac:dyDescent="0.35">
      <c r="A23" t="s">
        <v>10</v>
      </c>
      <c r="B23">
        <v>3</v>
      </c>
    </row>
    <row r="24" spans="1:12" x14ac:dyDescent="0.35">
      <c r="A24" t="s">
        <v>11</v>
      </c>
      <c r="B24">
        <v>1000</v>
      </c>
    </row>
    <row r="25" spans="1:12" x14ac:dyDescent="0.35">
      <c r="A25" t="s">
        <v>12</v>
      </c>
      <c r="B25">
        <v>4164</v>
      </c>
    </row>
    <row r="26" spans="1:12" x14ac:dyDescent="0.35">
      <c r="A26" t="s">
        <v>13</v>
      </c>
      <c r="B26">
        <f>B16-B17</f>
        <v>78</v>
      </c>
    </row>
    <row r="27" spans="1:12" x14ac:dyDescent="0.35">
      <c r="E27" t="s">
        <v>14</v>
      </c>
      <c r="F27" t="s">
        <v>17</v>
      </c>
      <c r="G27" t="s">
        <v>19</v>
      </c>
      <c r="H27" t="s">
        <v>20</v>
      </c>
      <c r="I27" t="s">
        <v>25</v>
      </c>
      <c r="J27" t="s">
        <v>21</v>
      </c>
      <c r="K27" t="s">
        <v>22</v>
      </c>
      <c r="L27" t="s">
        <v>23</v>
      </c>
    </row>
    <row r="28" spans="1:12" x14ac:dyDescent="0.35">
      <c r="A28">
        <v>1</v>
      </c>
      <c r="B28">
        <v>0</v>
      </c>
      <c r="C28">
        <v>1</v>
      </c>
      <c r="E28">
        <f>SQRT(($F$13-F2)^2+($G$13-G2)^2)</f>
        <v>10.770329614269007</v>
      </c>
      <c r="F28">
        <f>B21</f>
        <v>0.15</v>
      </c>
      <c r="G28">
        <f>$B$19*PI()*E28*F28</f>
        <v>7.6130973884088231</v>
      </c>
      <c r="H28">
        <f>B22/B23</f>
        <v>6.666666666666667</v>
      </c>
      <c r="I28">
        <f>H28*$B$25</f>
        <v>27760</v>
      </c>
      <c r="J28">
        <f>I28/(I28+G28)*$B$26+G28/(I28+G28)*$B$18</f>
        <v>77.978614597005034</v>
      </c>
      <c r="K28">
        <f>I28*($B$26-J28)</f>
        <v>593.65878714025143</v>
      </c>
      <c r="L28">
        <f>K28+AC2</f>
        <v>593.65878714025143</v>
      </c>
    </row>
    <row r="29" spans="1:12" x14ac:dyDescent="0.35">
      <c r="A29">
        <v>2</v>
      </c>
      <c r="B29">
        <v>0</v>
      </c>
      <c r="C29">
        <v>2</v>
      </c>
      <c r="E29">
        <f t="shared" ref="E29:E37" si="14">SQRT(($F$13-F3)^2+($G$13-G3)^2)</f>
        <v>12.806248474865697</v>
      </c>
      <c r="F29">
        <f>B21</f>
        <v>0.15</v>
      </c>
      <c r="G29">
        <f t="shared" ref="G29:G49" si="15">$B$19*PI()*E29*F29</f>
        <v>9.0522036289538033</v>
      </c>
      <c r="H29">
        <f>B22/B23</f>
        <v>6.666666666666667</v>
      </c>
      <c r="I29">
        <f t="shared" ref="I29:I49" si="16">H29*$B$25</f>
        <v>27760</v>
      </c>
      <c r="J29">
        <f t="shared" ref="J29:J49" si="17">I29/(I29+G29)*$B$26+G29/(I29+G29)*$B$18</f>
        <v>77.974573425197192</v>
      </c>
      <c r="K29">
        <f t="shared" ref="K29:K49" si="18">I29*($B$26-J29)</f>
        <v>705.84171652593682</v>
      </c>
      <c r="L29">
        <f t="shared" ref="L29:L37" si="19">K29+AC3</f>
        <v>705.84171652593682</v>
      </c>
    </row>
    <row r="30" spans="1:12" x14ac:dyDescent="0.35">
      <c r="A30">
        <v>3</v>
      </c>
      <c r="B30">
        <v>0</v>
      </c>
      <c r="C30">
        <v>3</v>
      </c>
      <c r="E30">
        <f t="shared" si="14"/>
        <v>8.6023252670426267</v>
      </c>
      <c r="F30">
        <f>B21</f>
        <v>0.15</v>
      </c>
      <c r="G30">
        <f t="shared" si="15"/>
        <v>6.080625419114468</v>
      </c>
      <c r="H30">
        <f>B22/B23</f>
        <v>6.666666666666667</v>
      </c>
      <c r="I30">
        <f t="shared" si="16"/>
        <v>27760</v>
      </c>
      <c r="J30">
        <f t="shared" si="17"/>
        <v>77.982918410808878</v>
      </c>
      <c r="K30">
        <f t="shared" si="18"/>
        <v>474.18491594554098</v>
      </c>
      <c r="L30">
        <f t="shared" si="19"/>
        <v>474.18491594554098</v>
      </c>
    </row>
    <row r="31" spans="1:12" x14ac:dyDescent="0.35">
      <c r="A31">
        <v>4</v>
      </c>
      <c r="B31">
        <v>0</v>
      </c>
      <c r="C31">
        <v>4</v>
      </c>
      <c r="E31">
        <f t="shared" si="14"/>
        <v>9.4868329805051381</v>
      </c>
      <c r="F31">
        <f>B20</f>
        <v>0.4</v>
      </c>
      <c r="G31">
        <f t="shared" si="15"/>
        <v>17.882258878432982</v>
      </c>
      <c r="H31">
        <f>2*B22/B23</f>
        <v>13.333333333333334</v>
      </c>
      <c r="I31">
        <f t="shared" si="16"/>
        <v>55520</v>
      </c>
      <c r="J31">
        <f t="shared" si="17"/>
        <v>77.97488531906896</v>
      </c>
      <c r="K31">
        <f t="shared" si="18"/>
        <v>1394.3670852913328</v>
      </c>
      <c r="L31">
        <f t="shared" si="19"/>
        <v>2173.9526749994093</v>
      </c>
    </row>
    <row r="32" spans="1:12" x14ac:dyDescent="0.35">
      <c r="A32">
        <v>5</v>
      </c>
      <c r="B32">
        <v>0</v>
      </c>
      <c r="C32">
        <v>5</v>
      </c>
      <c r="E32">
        <f t="shared" si="14"/>
        <v>1.5811388300841898</v>
      </c>
      <c r="F32">
        <f>B20</f>
        <v>0.4</v>
      </c>
      <c r="G32">
        <f t="shared" si="15"/>
        <v>2.9803764797388306</v>
      </c>
      <c r="H32">
        <f>2*B22/B23</f>
        <v>13.333333333333334</v>
      </c>
      <c r="I32">
        <f t="shared" si="16"/>
        <v>55520</v>
      </c>
      <c r="J32">
        <f t="shared" si="17"/>
        <v>77.995813096418033</v>
      </c>
      <c r="K32">
        <f t="shared" si="18"/>
        <v>232.45688687082293</v>
      </c>
      <c r="L32">
        <f t="shared" si="19"/>
        <v>1292.7391857823295</v>
      </c>
    </row>
    <row r="33" spans="1:12" x14ac:dyDescent="0.35">
      <c r="A33">
        <v>6</v>
      </c>
      <c r="B33">
        <v>0</v>
      </c>
      <c r="C33">
        <v>6</v>
      </c>
      <c r="E33">
        <f t="shared" si="14"/>
        <v>7.5166481891864541</v>
      </c>
      <c r="F33">
        <f>B20</f>
        <v>0.4</v>
      </c>
      <c r="G33">
        <f t="shared" si="15"/>
        <v>14.168548038460314</v>
      </c>
      <c r="H33">
        <f>2*B22/B23</f>
        <v>13.333333333333334</v>
      </c>
      <c r="I33">
        <f t="shared" si="16"/>
        <v>55520</v>
      </c>
      <c r="J33">
        <f t="shared" si="17"/>
        <v>77.980099697611493</v>
      </c>
      <c r="K33">
        <f t="shared" si="18"/>
        <v>1104.8647886099047</v>
      </c>
      <c r="L33">
        <f t="shared" si="19"/>
        <v>1976.44945523866</v>
      </c>
    </row>
    <row r="34" spans="1:12" x14ac:dyDescent="0.35">
      <c r="A34">
        <v>7</v>
      </c>
      <c r="B34">
        <v>0</v>
      </c>
      <c r="C34">
        <v>7</v>
      </c>
      <c r="E34">
        <f t="shared" si="14"/>
        <v>5.1854497287013537</v>
      </c>
      <c r="F34">
        <f>B20</f>
        <v>0.4</v>
      </c>
      <c r="G34">
        <f t="shared" si="15"/>
        <v>9.7743424639484147</v>
      </c>
      <c r="H34">
        <f>3*B22/B23</f>
        <v>20</v>
      </c>
      <c r="I34">
        <f t="shared" si="16"/>
        <v>83280</v>
      </c>
      <c r="J34">
        <f t="shared" si="17"/>
        <v>77.990846430810905</v>
      </c>
      <c r="K34">
        <f t="shared" si="18"/>
        <v>762.30924206786312</v>
      </c>
      <c r="L34">
        <f t="shared" si="19"/>
        <v>2325.9870503970151</v>
      </c>
    </row>
    <row r="35" spans="1:12" x14ac:dyDescent="0.35">
      <c r="A35">
        <v>8</v>
      </c>
      <c r="B35">
        <v>0</v>
      </c>
      <c r="C35">
        <v>8</v>
      </c>
      <c r="E35">
        <f>SQRT(($F$13-F9)^2+($G$13-G9)^2)</f>
        <v>4.1231056256176606</v>
      </c>
      <c r="F35">
        <f>B20</f>
        <v>0.4</v>
      </c>
      <c r="G35">
        <f t="shared" si="15"/>
        <v>7.771871006049115</v>
      </c>
      <c r="H35">
        <f>B22/B23*3</f>
        <v>20</v>
      </c>
      <c r="I35">
        <f t="shared" si="16"/>
        <v>83280</v>
      </c>
      <c r="J35">
        <f t="shared" si="17"/>
        <v>77.992721549336068</v>
      </c>
      <c r="K35">
        <f t="shared" si="18"/>
        <v>606.1493712922811</v>
      </c>
      <c r="L35">
        <f t="shared" si="19"/>
        <v>3015.197371597435</v>
      </c>
    </row>
    <row r="36" spans="1:12" x14ac:dyDescent="0.35">
      <c r="A36">
        <v>9</v>
      </c>
      <c r="B36">
        <v>0</v>
      </c>
      <c r="C36">
        <v>9</v>
      </c>
      <c r="E36">
        <f t="shared" si="14"/>
        <v>7.0799011292531482</v>
      </c>
      <c r="F36">
        <f>B20</f>
        <v>0.4</v>
      </c>
      <c r="G36">
        <f t="shared" si="15"/>
        <v>13.345299225482263</v>
      </c>
      <c r="H36">
        <f>B22/B23*3</f>
        <v>20</v>
      </c>
      <c r="I36">
        <f t="shared" si="16"/>
        <v>83280</v>
      </c>
      <c r="J36">
        <f t="shared" si="17"/>
        <v>77.987502803064913</v>
      </c>
      <c r="K36">
        <f t="shared" si="18"/>
        <v>1040.7665607540173</v>
      </c>
      <c r="L36">
        <f t="shared" si="19"/>
        <v>3264.3637812700663</v>
      </c>
    </row>
    <row r="37" spans="1:12" x14ac:dyDescent="0.35">
      <c r="A37">
        <v>10</v>
      </c>
      <c r="B37">
        <v>0</v>
      </c>
      <c r="C37">
        <v>10</v>
      </c>
      <c r="E37">
        <f t="shared" si="14"/>
        <v>5.5339859052946636</v>
      </c>
      <c r="F37">
        <f>B20</f>
        <v>0.4</v>
      </c>
      <c r="G37">
        <f t="shared" si="15"/>
        <v>10.431317679085907</v>
      </c>
      <c r="H37">
        <f>B22/B23*3</f>
        <v>20</v>
      </c>
      <c r="I37">
        <f t="shared" si="16"/>
        <v>83280</v>
      </c>
      <c r="J37">
        <f t="shared" si="17"/>
        <v>77.990231257467428</v>
      </c>
      <c r="K37">
        <f t="shared" si="18"/>
        <v>813.54087811256704</v>
      </c>
      <c r="L37">
        <f t="shared" si="19"/>
        <v>3192.5341045450514</v>
      </c>
    </row>
    <row r="38" spans="1:12" x14ac:dyDescent="0.35">
      <c r="A38">
        <v>11</v>
      </c>
      <c r="B38">
        <v>1</v>
      </c>
      <c r="C38">
        <v>2</v>
      </c>
      <c r="E38">
        <f>SQRT(($F$2-F3)^2+($G$2-G3)^2)</f>
        <v>14.142135623730951</v>
      </c>
      <c r="F38">
        <f>B21</f>
        <v>0.15</v>
      </c>
      <c r="G38">
        <f t="shared" si="15"/>
        <v>9.9964866108563246</v>
      </c>
      <c r="H38">
        <f>B22/B23</f>
        <v>6.666666666666667</v>
      </c>
      <c r="I38">
        <f t="shared" si="16"/>
        <v>27760</v>
      </c>
      <c r="J38">
        <f t="shared" si="17"/>
        <v>77.97192200020541</v>
      </c>
      <c r="K38">
        <f t="shared" si="18"/>
        <v>779.44527429781601</v>
      </c>
      <c r="L38">
        <f>K38+AC3</f>
        <v>779.44527429781601</v>
      </c>
    </row>
    <row r="39" spans="1:12" x14ac:dyDescent="0.35">
      <c r="A39">
        <v>12</v>
      </c>
      <c r="B39">
        <v>1</v>
      </c>
      <c r="C39">
        <v>3</v>
      </c>
      <c r="E39">
        <f>SQRT(($F$2-F4)^2+($G$2-G4)^2)</f>
        <v>19.235384061671343</v>
      </c>
      <c r="F39">
        <f>B21</f>
        <v>0.15</v>
      </c>
      <c r="G39">
        <f>$B$19*PI()*E39*F39</f>
        <v>13.596691782853101</v>
      </c>
      <c r="H39">
        <f>B22/B23</f>
        <v>6.666666666666667</v>
      </c>
      <c r="I39">
        <f t="shared" si="16"/>
        <v>27760</v>
      </c>
      <c r="J39">
        <f t="shared" si="17"/>
        <v>77.961814741863222</v>
      </c>
      <c r="K39">
        <f t="shared" si="18"/>
        <v>1060.0227658769597</v>
      </c>
      <c r="L39">
        <f>K39+AC4</f>
        <v>1060.0227658769597</v>
      </c>
    </row>
    <row r="40" spans="1:12" x14ac:dyDescent="0.35">
      <c r="A40">
        <v>13</v>
      </c>
      <c r="B40">
        <v>1</v>
      </c>
      <c r="C40">
        <v>6</v>
      </c>
      <c r="E40">
        <f>SQRT(($F$2-F7)^2+($G$2-G7)^2)</f>
        <v>14.916433890176299</v>
      </c>
      <c r="F40">
        <f>B20</f>
        <v>0.4</v>
      </c>
      <c r="G40">
        <f t="shared" si="15"/>
        <v>28.11681547628141</v>
      </c>
      <c r="H40">
        <f>B22/B23*2</f>
        <v>13.333333333333334</v>
      </c>
      <c r="I40">
        <f t="shared" si="16"/>
        <v>55520</v>
      </c>
      <c r="J40">
        <f t="shared" si="17"/>
        <v>77.96051870463161</v>
      </c>
      <c r="K40">
        <f t="shared" si="18"/>
        <v>2192.0015188529919</v>
      </c>
      <c r="L40">
        <f>K40+AC7</f>
        <v>3063.5861854817472</v>
      </c>
    </row>
    <row r="41" spans="1:12" x14ac:dyDescent="0.35">
      <c r="A41">
        <v>14</v>
      </c>
      <c r="B41">
        <v>2</v>
      </c>
      <c r="C41">
        <v>1</v>
      </c>
      <c r="E41">
        <f>SQRT(($F$3-F2)^2+($G$3-G2)^2)</f>
        <v>14.142135623730951</v>
      </c>
      <c r="F41">
        <f>B21</f>
        <v>0.15</v>
      </c>
      <c r="G41">
        <f t="shared" si="15"/>
        <v>9.9964866108563246</v>
      </c>
      <c r="H41">
        <f>B22/B23</f>
        <v>6.666666666666667</v>
      </c>
      <c r="I41">
        <f t="shared" si="16"/>
        <v>27760</v>
      </c>
      <c r="J41">
        <f t="shared" si="17"/>
        <v>77.97192200020541</v>
      </c>
      <c r="K41">
        <f t="shared" si="18"/>
        <v>779.44527429781601</v>
      </c>
      <c r="L41">
        <f>K41</f>
        <v>779.44527429781601</v>
      </c>
    </row>
    <row r="42" spans="1:12" x14ac:dyDescent="0.35">
      <c r="A42">
        <v>15</v>
      </c>
      <c r="B42">
        <v>2</v>
      </c>
      <c r="C42">
        <v>3</v>
      </c>
      <c r="E42">
        <f>SQRT(($F$3-F4)^2+($G$3-G4)^2)</f>
        <v>15.811388300841896</v>
      </c>
      <c r="F42">
        <f>B21</f>
        <v>0.15</v>
      </c>
      <c r="G42">
        <f t="shared" si="15"/>
        <v>11.176411799020611</v>
      </c>
      <c r="H42">
        <f>B22/B23</f>
        <v>6.666666666666667</v>
      </c>
      <c r="I42">
        <f t="shared" si="16"/>
        <v>27760</v>
      </c>
      <c r="J42">
        <f t="shared" si="17"/>
        <v>77.968609175664838</v>
      </c>
      <c r="K42">
        <f t="shared" si="18"/>
        <v>871.40928354409539</v>
      </c>
      <c r="L42">
        <f>K42</f>
        <v>871.40928354409539</v>
      </c>
    </row>
    <row r="43" spans="1:12" x14ac:dyDescent="0.35">
      <c r="A43">
        <v>16</v>
      </c>
      <c r="B43">
        <v>2</v>
      </c>
      <c r="C43">
        <v>5</v>
      </c>
      <c r="E43">
        <f>SQRT(($F$3-F6)^2+($G$3-G6)^2)</f>
        <v>11.510864433221338</v>
      </c>
      <c r="F43">
        <f>B20</f>
        <v>0.4</v>
      </c>
      <c r="G43">
        <f t="shared" si="15"/>
        <v>21.697468283925716</v>
      </c>
      <c r="H43">
        <f>B22/B23*2</f>
        <v>13.333333333333334</v>
      </c>
      <c r="I43">
        <f t="shared" si="16"/>
        <v>55520</v>
      </c>
      <c r="J43">
        <f t="shared" si="17"/>
        <v>77.969529153711719</v>
      </c>
      <c r="K43">
        <f t="shared" si="18"/>
        <v>1691.7413859253861</v>
      </c>
      <c r="L43">
        <f>K43+AC6</f>
        <v>2752.0236848368927</v>
      </c>
    </row>
    <row r="44" spans="1:12" x14ac:dyDescent="0.35">
      <c r="A44">
        <v>17</v>
      </c>
      <c r="B44">
        <v>3</v>
      </c>
      <c r="C44">
        <v>1</v>
      </c>
      <c r="E44">
        <f>SQRT(($F$4-F2)^2+($G$4-G2)^2)</f>
        <v>19.235384061671343</v>
      </c>
      <c r="F44">
        <f>B21</f>
        <v>0.15</v>
      </c>
      <c r="G44">
        <f t="shared" si="15"/>
        <v>13.596691782853101</v>
      </c>
      <c r="H44">
        <f>B22/B23</f>
        <v>6.666666666666667</v>
      </c>
      <c r="I44">
        <f t="shared" si="16"/>
        <v>27760</v>
      </c>
      <c r="J44">
        <f t="shared" si="17"/>
        <v>77.961814741863222</v>
      </c>
      <c r="K44">
        <f t="shared" si="18"/>
        <v>1060.0227658769597</v>
      </c>
      <c r="L44">
        <f>K44</f>
        <v>1060.0227658769597</v>
      </c>
    </row>
    <row r="45" spans="1:12" x14ac:dyDescent="0.35">
      <c r="A45">
        <v>18</v>
      </c>
      <c r="B45">
        <v>3</v>
      </c>
      <c r="C45">
        <v>2</v>
      </c>
      <c r="E45">
        <f>SQRT(($F$3-F4)^2+($G$3-G4)^2)</f>
        <v>15.811388300841896</v>
      </c>
      <c r="F45">
        <f>B21</f>
        <v>0.15</v>
      </c>
      <c r="G45">
        <f t="shared" si="15"/>
        <v>11.176411799020611</v>
      </c>
      <c r="H45">
        <f>B22/B23</f>
        <v>6.666666666666667</v>
      </c>
      <c r="I45">
        <f t="shared" si="16"/>
        <v>27760</v>
      </c>
      <c r="J45">
        <f t="shared" si="17"/>
        <v>77.968609175664838</v>
      </c>
      <c r="K45">
        <f t="shared" si="18"/>
        <v>871.40928354409539</v>
      </c>
      <c r="L45">
        <f>K45</f>
        <v>871.40928354409539</v>
      </c>
    </row>
    <row r="46" spans="1:12" x14ac:dyDescent="0.35">
      <c r="A46">
        <v>19</v>
      </c>
      <c r="B46">
        <v>3</v>
      </c>
      <c r="C46">
        <v>4</v>
      </c>
      <c r="E46">
        <f>SQRT(($F$4-F5)^2+($G$4-G5)^2)</f>
        <v>16.124515496597098</v>
      </c>
      <c r="F46">
        <f>B20</f>
        <v>0.4</v>
      </c>
      <c r="G46">
        <f t="shared" si="15"/>
        <v>30.393995656082531</v>
      </c>
      <c r="H46">
        <f>B22/B23*2</f>
        <v>13.333333333333334</v>
      </c>
      <c r="I46">
        <f t="shared" si="16"/>
        <v>55520</v>
      </c>
      <c r="J46">
        <f t="shared" si="17"/>
        <v>77.957322865048269</v>
      </c>
      <c r="K46">
        <f t="shared" si="18"/>
        <v>2369.4345325201039</v>
      </c>
      <c r="L46">
        <f>K46+AC5</f>
        <v>3149.0201222281803</v>
      </c>
    </row>
    <row r="47" spans="1:12" x14ac:dyDescent="0.35">
      <c r="A47">
        <v>20</v>
      </c>
      <c r="B47">
        <v>4</v>
      </c>
      <c r="C47">
        <v>3</v>
      </c>
      <c r="E47">
        <f>SQRT(($F$4-F5)^2+($G$4-G5)^2)</f>
        <v>16.124515496597098</v>
      </c>
      <c r="F47">
        <f>B21</f>
        <v>0.15</v>
      </c>
      <c r="G47">
        <f t="shared" si="15"/>
        <v>11.397748371030948</v>
      </c>
      <c r="H47">
        <f>B22/B23</f>
        <v>6.666666666666667</v>
      </c>
      <c r="I47">
        <f t="shared" si="16"/>
        <v>27760</v>
      </c>
      <c r="J47">
        <f t="shared" si="17"/>
        <v>77.967987769971259</v>
      </c>
      <c r="K47">
        <f t="shared" si="18"/>
        <v>888.65950559784665</v>
      </c>
      <c r="L47">
        <f>K47</f>
        <v>888.65950559784665</v>
      </c>
    </row>
    <row r="48" spans="1:12" x14ac:dyDescent="0.35">
      <c r="A48">
        <v>21</v>
      </c>
      <c r="B48">
        <v>5</v>
      </c>
      <c r="C48">
        <v>2</v>
      </c>
      <c r="E48">
        <f>SQRT(($F$3-F6)^2+($G$3-G6)^2)</f>
        <v>11.510864433221338</v>
      </c>
      <c r="F48">
        <f>B21</f>
        <v>0.15</v>
      </c>
      <c r="G48">
        <f t="shared" si="15"/>
        <v>8.1365506064721433</v>
      </c>
      <c r="H48">
        <f>B22/B23</f>
        <v>6.666666666666667</v>
      </c>
      <c r="I48">
        <f t="shared" si="16"/>
        <v>27760</v>
      </c>
      <c r="J48">
        <f t="shared" si="17"/>
        <v>77.977144633160805</v>
      </c>
      <c r="K48">
        <f t="shared" si="18"/>
        <v>634.46498345606187</v>
      </c>
      <c r="L48">
        <f>K48</f>
        <v>634.46498345606187</v>
      </c>
    </row>
    <row r="49" spans="1:12" x14ac:dyDescent="0.35">
      <c r="A49">
        <v>22</v>
      </c>
      <c r="B49">
        <v>6</v>
      </c>
      <c r="C49">
        <v>1</v>
      </c>
      <c r="E49">
        <f>SQRT(($F$2-F7)^2+($G$2-G7)^2)</f>
        <v>14.916433890176299</v>
      </c>
      <c r="F49">
        <f>B21</f>
        <v>0.15</v>
      </c>
      <c r="G49">
        <f t="shared" si="15"/>
        <v>10.543805803605528</v>
      </c>
      <c r="H49">
        <f>B22/B23</f>
        <v>6.666666666666667</v>
      </c>
      <c r="I49">
        <f t="shared" si="16"/>
        <v>27760</v>
      </c>
      <c r="J49">
        <f t="shared" si="17"/>
        <v>77.970385280949756</v>
      </c>
      <c r="K49">
        <f t="shared" si="18"/>
        <v>822.10460083476846</v>
      </c>
      <c r="L49">
        <f>K49</f>
        <v>822.10460083476846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Blizard</dc:creator>
  <cp:lastModifiedBy>Audrey Blizard</cp:lastModifiedBy>
  <dcterms:created xsi:type="dcterms:W3CDTF">2023-05-24T09:49:06Z</dcterms:created>
  <dcterms:modified xsi:type="dcterms:W3CDTF">2023-06-06T21:13:15Z</dcterms:modified>
</cp:coreProperties>
</file>