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" sheetId="1" state="visible" r:id="rId3"/>
    <sheet name="RHEEA" sheetId="2" state="visible" r:id="rId4"/>
    <sheet name="UTTAM MAL" sheetId="3" state="visible" r:id="rId5"/>
    <sheet name="SHREE GOURANGO" sheetId="4" state="visible" r:id="rId6"/>
    <sheet name="SAFWAN JEWELLE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<sst xmlns="http://schemas.openxmlformats.org/spreadsheetml/2006/main" count="942" uniqueCount="113">
  <si>
    <t xml:space="preserve">sr.no</t>
  </si>
  <si>
    <t xml:space="preserve">degine</t>
  </si>
  <si>
    <t xml:space="preserve">ref</t>
  </si>
  <si>
    <t xml:space="preserve">GR WT</t>
  </si>
  <si>
    <t xml:space="preserve">STUDDED DIA.,CS.,EXTRA DETAILS</t>
  </si>
  <si>
    <t xml:space="preserve">NET WT.</t>
  </si>
  <si>
    <t xml:space="preserve">PURE WT.</t>
  </si>
  <si>
    <t xml:space="preserve">GOLD AMM</t>
  </si>
  <si>
    <t xml:space="preserve">LABOUR CHGS.</t>
  </si>
  <si>
    <t xml:space="preserve">TOTAL VALUE</t>
  </si>
  <si>
    <t xml:space="preserve">STUDDED</t>
  </si>
  <si>
    <t xml:space="preserve">PCS</t>
  </si>
  <si>
    <t xml:space="preserve">WT.</t>
  </si>
  <si>
    <t xml:space="preserve">RATE</t>
  </si>
  <si>
    <t xml:space="preserve">AMT.</t>
  </si>
  <si>
    <t xml:space="preserve">17.04.26</t>
  </si>
  <si>
    <t xml:space="preserve">VVS/EF</t>
  </si>
  <si>
    <t xml:space="preserve">18KT</t>
  </si>
  <si>
    <t xml:space="preserve">GREEN</t>
  </si>
  <si>
    <t xml:space="preserve">RED</t>
  </si>
  <si>
    <t xml:space="preserve">PE</t>
  </si>
  <si>
    <t xml:space="preserve">EMD</t>
  </si>
  <si>
    <t xml:space="preserve">18kt</t>
  </si>
  <si>
    <t xml:space="preserve">PAID</t>
  </si>
  <si>
    <t xml:space="preserve">24.04.26</t>
  </si>
  <si>
    <t xml:space="preserve">04.05.26</t>
  </si>
  <si>
    <t xml:space="preserve">19.06.26</t>
  </si>
  <si>
    <t xml:space="preserve">20.05.26</t>
  </si>
  <si>
    <t xml:space="preserve">SILVER AMM</t>
  </si>
  <si>
    <t xml:space="preserve">CATS EYE</t>
  </si>
  <si>
    <t xml:space="preserve">SILVER</t>
  </si>
  <si>
    <t xml:space="preserve">06.06.26</t>
  </si>
  <si>
    <t xml:space="preserve">20 NO</t>
  </si>
  <si>
    <t xml:space="preserve">17 NO</t>
  </si>
  <si>
    <t xml:space="preserve">18 KT</t>
  </si>
  <si>
    <t xml:space="preserve">BLUE</t>
  </si>
  <si>
    <t xml:space="preserve">09.07.26</t>
  </si>
  <si>
    <t xml:space="preserve">21.07.26</t>
  </si>
  <si>
    <t xml:space="preserve">VVS-VS/GH</t>
  </si>
  <si>
    <t xml:space="preserve">BANGLE</t>
  </si>
  <si>
    <t xml:space="preserve">EF/VVS</t>
  </si>
  <si>
    <t xml:space="preserve">15.04.26</t>
  </si>
  <si>
    <t xml:space="preserve">22KT</t>
  </si>
  <si>
    <t xml:space="preserve">18.04.26</t>
  </si>
  <si>
    <t xml:space="preserve">25.05.26</t>
  </si>
  <si>
    <t xml:space="preserve">09.06.26</t>
  </si>
  <si>
    <t xml:space="preserve">H C</t>
  </si>
  <si>
    <t xml:space="preserve">16.06.26</t>
  </si>
  <si>
    <t xml:space="preserve">k-dbp-0468</t>
  </si>
  <si>
    <t xml:space="preserve">17.08.26</t>
  </si>
  <si>
    <t xml:space="preserve">06.04.26</t>
  </si>
  <si>
    <t xml:space="preserve">CVD</t>
  </si>
  <si>
    <t xml:space="preserve">RD CVD</t>
  </si>
  <si>
    <t xml:space="preserve">EMD CVD</t>
  </si>
  <si>
    <t xml:space="preserve">PAN CVD</t>
  </si>
  <si>
    <t xml:space="preserve">22.04.26</t>
  </si>
  <si>
    <t xml:space="preserve">07.05.26</t>
  </si>
  <si>
    <t xml:space="preserve">BUGG</t>
  </si>
  <si>
    <t xml:space="preserve">PINK</t>
  </si>
  <si>
    <t xml:space="preserve">21.05.26</t>
  </si>
  <si>
    <t xml:space="preserve">PAN</t>
  </si>
  <si>
    <t xml:space="preserve">29.05.26</t>
  </si>
  <si>
    <t xml:space="preserve">18 kt</t>
  </si>
  <si>
    <t xml:space="preserve">10.06.26</t>
  </si>
  <si>
    <t xml:space="preserve">24.06.26</t>
  </si>
  <si>
    <t xml:space="preserve">BELT</t>
  </si>
  <si>
    <t xml:space="preserve">CHOKER</t>
  </si>
  <si>
    <t xml:space="preserve">30.07.26</t>
  </si>
  <si>
    <t xml:space="preserve">03.07.26</t>
  </si>
  <si>
    <t xml:space="preserve">MQ</t>
  </si>
  <si>
    <t xml:space="preserve">OVAL VVS1-G</t>
  </si>
  <si>
    <t xml:space="preserve">ER</t>
  </si>
  <si>
    <t xml:space="preserve">MANG</t>
  </si>
  <si>
    <t xml:space="preserve">07.04.26</t>
  </si>
  <si>
    <t xml:space="preserve">K-DNK-1885</t>
  </si>
  <si>
    <t xml:space="preserve">22kt</t>
  </si>
  <si>
    <t xml:space="preserve">13.04.26</t>
  </si>
  <si>
    <t xml:space="preserve">SI/IJ</t>
  </si>
  <si>
    <t xml:space="preserve">POLKI</t>
  </si>
  <si>
    <t xml:space="preserve">CZ</t>
  </si>
  <si>
    <t xml:space="preserve">REPAIR</t>
  </si>
  <si>
    <t xml:space="preserve">K-DP-1022</t>
  </si>
  <si>
    <t xml:space="preserve">M-DNK-0196</t>
  </si>
  <si>
    <t xml:space="preserve">NEW</t>
  </si>
  <si>
    <t xml:space="preserve">chain</t>
  </si>
  <si>
    <t xml:space="preserve">CS</t>
  </si>
  <si>
    <t xml:space="preserve">03.06.26</t>
  </si>
  <si>
    <t xml:space="preserve">BB/MOP</t>
  </si>
  <si>
    <t xml:space="preserve">06.07.26</t>
  </si>
  <si>
    <t xml:space="preserve">RC</t>
  </si>
  <si>
    <t xml:space="preserve">08.07.26</t>
  </si>
  <si>
    <t xml:space="preserve">OW</t>
  </si>
  <si>
    <t xml:space="preserve">JADAI</t>
  </si>
  <si>
    <t xml:space="preserve">23.07.26</t>
  </si>
  <si>
    <t xml:space="preserve">27.07.26</t>
  </si>
  <si>
    <t xml:space="preserve">CVD RD</t>
  </si>
  <si>
    <t xml:space="preserve">14 kt</t>
  </si>
  <si>
    <t xml:space="preserve">CVD POLKI</t>
  </si>
  <si>
    <t xml:space="preserve">RUBY</t>
  </si>
  <si>
    <t xml:space="preserve">MOTI</t>
  </si>
  <si>
    <t xml:space="preserve">M-DNK-</t>
  </si>
  <si>
    <t xml:space="preserve">19.08.26</t>
  </si>
  <si>
    <t xml:space="preserve">M-DER-0414</t>
  </si>
  <si>
    <t xml:space="preserve">02.06.26</t>
  </si>
  <si>
    <t xml:space="preserve">K-GER-0167</t>
  </si>
  <si>
    <t xml:space="preserve">BRAC</t>
  </si>
  <si>
    <t xml:space="preserve">RING</t>
  </si>
  <si>
    <t xml:space="preserve">CHAIN PEN</t>
  </si>
  <si>
    <t xml:space="preserve">PEN CHAIN</t>
  </si>
  <si>
    <t xml:space="preserve">19.06.25</t>
  </si>
  <si>
    <t xml:space="preserve">MOZO</t>
  </si>
  <si>
    <t xml:space="preserve">14KT</t>
  </si>
  <si>
    <t xml:space="preserve">BEADS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</si>
</sst>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"/>
    <numFmt numFmtId="168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Calibri"/>
      <family val="2"/>
      <charset val="1"/>
    </font>
    <font>
      <sz val="12"/>
      <name val="Cambria"/>
      <family val="1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7.jpeg"/><Relationship Id="rId9" Type="http://schemas.openxmlformats.org/officeDocument/2006/relationships/image" Target="../media/image8.jpeg"/><Relationship Id="rId10" Type="http://schemas.openxmlformats.org/officeDocument/2006/relationships/image" Target="../media/image9.jpeg"/><Relationship Id="rId11" Type="http://schemas.openxmlformats.org/officeDocument/2006/relationships/image" Target="../media/image10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13.jpeg"/><Relationship Id="rId4" Type="http://schemas.openxmlformats.org/officeDocument/2006/relationships/image" Target="../media/image14.jpeg"/><Relationship Id="rId5" Type="http://schemas.openxmlformats.org/officeDocument/2006/relationships/image" Target="../media/image15.jpeg"/><Relationship Id="rId6" Type="http://schemas.openxmlformats.org/officeDocument/2006/relationships/image" Target="../media/image16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7.jpeg"/><Relationship Id="rId2" Type="http://schemas.openxmlformats.org/officeDocument/2006/relationships/image" Target="../media/image18.jpeg"/><Relationship Id="rId3" Type="http://schemas.openxmlformats.org/officeDocument/2006/relationships/image" Target="../media/image19.png"/><Relationship Id="rId4" Type="http://schemas.openxmlformats.org/officeDocument/2006/relationships/image" Target="../media/image20.jpeg"/><Relationship Id="rId5" Type="http://schemas.openxmlformats.org/officeDocument/2006/relationships/image" Target="../media/image21.jpeg"/><Relationship Id="rId6" Type="http://schemas.openxmlformats.org/officeDocument/2006/relationships/image" Target="../media/image22.jpeg"/><Relationship Id="rId7" Type="http://schemas.openxmlformats.org/officeDocument/2006/relationships/image" Target="../media/image23.jpeg"/><Relationship Id="rId8" Type="http://schemas.openxmlformats.org/officeDocument/2006/relationships/image" Target="../media/image24.jpeg"/><Relationship Id="rId9" Type="http://schemas.openxmlformats.org/officeDocument/2006/relationships/image" Target="../media/image25.jpeg"/><Relationship Id="rId10" Type="http://schemas.openxmlformats.org/officeDocument/2006/relationships/image" Target="../media/image26.jpeg"/><Relationship Id="rId11" Type="http://schemas.openxmlformats.org/officeDocument/2006/relationships/image" Target="../media/image27.jpeg"/><Relationship Id="rId12" Type="http://schemas.openxmlformats.org/officeDocument/2006/relationships/image" Target="../media/image28.jpeg"/><Relationship Id="rId13" Type="http://schemas.openxmlformats.org/officeDocument/2006/relationships/image" Target="../media/image26.jpeg"/><Relationship Id="rId14" Type="http://schemas.openxmlformats.org/officeDocument/2006/relationships/image" Target="../media/image29.jpeg"/><Relationship Id="rId15" Type="http://schemas.openxmlformats.org/officeDocument/2006/relationships/image" Target="../media/image30.jpeg"/><Relationship Id="rId16" Type="http://schemas.openxmlformats.org/officeDocument/2006/relationships/image" Target="../media/image31.jpeg"/><Relationship Id="rId17" Type="http://schemas.openxmlformats.org/officeDocument/2006/relationships/image" Target="../media/image32.jpeg"/><Relationship Id="rId18" Type="http://schemas.openxmlformats.org/officeDocument/2006/relationships/image" Target="../media/image33.jpeg"/><Relationship Id="rId19" Type="http://schemas.openxmlformats.org/officeDocument/2006/relationships/image" Target="../media/image34.jpeg"/><Relationship Id="rId20" Type="http://schemas.openxmlformats.org/officeDocument/2006/relationships/image" Target="../media/image35.jpeg"/><Relationship Id="rId21" Type="http://schemas.openxmlformats.org/officeDocument/2006/relationships/image" Target="../media/image36.jpeg"/><Relationship Id="rId22" Type="http://schemas.openxmlformats.org/officeDocument/2006/relationships/image" Target="../media/image37.jpeg"/><Relationship Id="rId23" Type="http://schemas.openxmlformats.org/officeDocument/2006/relationships/image" Target="../media/image38.jpeg"/><Relationship Id="rId24" Type="http://schemas.openxmlformats.org/officeDocument/2006/relationships/image" Target="../media/image39.jpeg"/><Relationship Id="rId25" Type="http://schemas.openxmlformats.org/officeDocument/2006/relationships/image" Target="../media/image40.jpeg"/><Relationship Id="rId26" Type="http://schemas.openxmlformats.org/officeDocument/2006/relationships/image" Target="../media/image41.jpeg"/><Relationship Id="rId27" Type="http://schemas.openxmlformats.org/officeDocument/2006/relationships/image" Target="../media/image42.jpeg"/><Relationship Id="rId28" Type="http://schemas.openxmlformats.org/officeDocument/2006/relationships/image" Target="../media/image43.jpeg"/><Relationship Id="rId29" Type="http://schemas.openxmlformats.org/officeDocument/2006/relationships/image" Target="../media/image44.jpeg"/><Relationship Id="rId30" Type="http://schemas.openxmlformats.org/officeDocument/2006/relationships/image" Target="../media/image45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6.jpeg"/><Relationship Id="rId2" Type="http://schemas.openxmlformats.org/officeDocument/2006/relationships/image" Target="../media/image47.jpeg"/><Relationship Id="rId3" Type="http://schemas.openxmlformats.org/officeDocument/2006/relationships/image" Target="../media/image48.jpeg"/><Relationship Id="rId4" Type="http://schemas.openxmlformats.org/officeDocument/2006/relationships/image" Target="../media/image49.jpeg"/><Relationship Id="rId5" Type="http://schemas.openxmlformats.org/officeDocument/2006/relationships/image" Target="../media/image50.jpeg"/><Relationship Id="rId6" Type="http://schemas.openxmlformats.org/officeDocument/2006/relationships/image" Target="../media/image51.jpeg"/><Relationship Id="rId7" Type="http://schemas.openxmlformats.org/officeDocument/2006/relationships/image" Target="../media/image52.jpeg"/><Relationship Id="rId8" Type="http://schemas.openxmlformats.org/officeDocument/2006/relationships/image" Target="../media/image53.jpeg"/><Relationship Id="rId9" Type="http://schemas.openxmlformats.org/officeDocument/2006/relationships/image" Target="../media/image54.jpeg"/><Relationship Id="rId10" Type="http://schemas.openxmlformats.org/officeDocument/2006/relationships/image" Target="../media/image55.jpeg"/><Relationship Id="rId11" Type="http://schemas.openxmlformats.org/officeDocument/2006/relationships/image" Target="../media/image56.jpeg"/><Relationship Id="rId12" Type="http://schemas.openxmlformats.org/officeDocument/2006/relationships/image" Target="../media/image57.jpeg"/><Relationship Id="rId13" Type="http://schemas.openxmlformats.org/officeDocument/2006/relationships/image" Target="../media/image58.jpeg"/><Relationship Id="rId14" Type="http://schemas.openxmlformats.org/officeDocument/2006/relationships/image" Target="../media/image59.jpeg"/><Relationship Id="rId15" Type="http://schemas.openxmlformats.org/officeDocument/2006/relationships/image" Target="../media/image60.jpeg"/><Relationship Id="rId16" Type="http://schemas.openxmlformats.org/officeDocument/2006/relationships/image" Target="../media/image61.jpeg"/><Relationship Id="rId17" Type="http://schemas.openxmlformats.org/officeDocument/2006/relationships/image" Target="../media/image62.jpeg"/><Relationship Id="rId18" Type="http://schemas.openxmlformats.org/officeDocument/2006/relationships/image" Target="../media/image63.jpeg"/><Relationship Id="rId19" Type="http://schemas.openxmlformats.org/officeDocument/2006/relationships/image" Target="../media/image64.jpeg"/><Relationship Id="rId20" Type="http://schemas.openxmlformats.org/officeDocument/2006/relationships/image" Target="../media/image65.jpeg"/><Relationship Id="rId21" Type="http://schemas.openxmlformats.org/officeDocument/2006/relationships/image" Target="../media/image66.jpeg"/><Relationship Id="rId22" Type="http://schemas.openxmlformats.org/officeDocument/2006/relationships/image" Target="../media/image67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8.jpeg"/><Relationship Id="rId2" Type="http://schemas.openxmlformats.org/officeDocument/2006/relationships/image" Target="../media/image69.jpeg"/><Relationship Id="rId3" Type="http://schemas.openxmlformats.org/officeDocument/2006/relationships/image" Target="../media/image70.jpeg"/><Relationship Id="rId4" Type="http://schemas.openxmlformats.org/officeDocument/2006/relationships/image" Target="../media/image71.jpeg"/><Relationship Id="rId5" Type="http://schemas.openxmlformats.org/officeDocument/2006/relationships/image" Target="../media/image72.jpeg"/><Relationship Id="rId6" Type="http://schemas.openxmlformats.org/officeDocument/2006/relationships/image" Target="../media/image73.jpeg"/><Relationship Id="rId7" Type="http://schemas.openxmlformats.org/officeDocument/2006/relationships/image" Target="../media/image7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228600</xdr:colOff>
      <xdr:row>9</xdr:row>
      <xdr:rowOff>30600</xdr:rowOff>
    </xdr:from>
    <xdr:to>
      <xdr:col>3</xdr:col>
      <xdr:colOff>974880</xdr:colOff>
      <xdr:row>13</xdr:row>
      <xdr:rowOff>14760</xdr:rowOff>
    </xdr:to>
    <xdr:pic>
      <xdr:nvPicPr>
        <xdr:cNvPr id="1" name="Picture 3"/>
        <xdr:cNvPicPr/>
      </xdr:nvPicPr>
      <xdr:blipFill>
        <a:blip r:embed="rId1"/>
        <a:stretch/>
      </xdr:blipFill>
      <xdr:spPr>
        <a:xfrm>
          <a:off x="2239560" y="1716480"/>
          <a:ext cx="746280" cy="746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165240</xdr:colOff>
      <xdr:row>3</xdr:row>
      <xdr:rowOff>12960</xdr:rowOff>
    </xdr:from>
    <xdr:to>
      <xdr:col>3</xdr:col>
      <xdr:colOff>1064880</xdr:colOff>
      <xdr:row>7</xdr:row>
      <xdr:rowOff>150480</xdr:rowOff>
    </xdr:to>
    <xdr:pic>
      <xdr:nvPicPr>
        <xdr:cNvPr id="2" name="Picture 5"/>
        <xdr:cNvPicPr/>
      </xdr:nvPicPr>
      <xdr:blipFill>
        <a:blip r:embed="rId2"/>
        <a:stretch/>
      </xdr:blipFill>
      <xdr:spPr>
        <a:xfrm>
          <a:off x="2176200" y="555840"/>
          <a:ext cx="899640" cy="8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184320</xdr:colOff>
      <xdr:row>18</xdr:row>
      <xdr:rowOff>12600</xdr:rowOff>
    </xdr:from>
    <xdr:to>
      <xdr:col>3</xdr:col>
      <xdr:colOff>1083960</xdr:colOff>
      <xdr:row>21</xdr:row>
      <xdr:rowOff>176040</xdr:rowOff>
    </xdr:to>
    <xdr:pic>
      <xdr:nvPicPr>
        <xdr:cNvPr id="3" name="Picture 2"/>
        <xdr:cNvPicPr/>
      </xdr:nvPicPr>
      <xdr:blipFill>
        <a:blip r:embed="rId3"/>
        <a:stretch/>
      </xdr:blipFill>
      <xdr:spPr>
        <a:xfrm>
          <a:off x="2195280" y="3384360"/>
          <a:ext cx="899640" cy="73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260280</xdr:colOff>
      <xdr:row>24</xdr:row>
      <xdr:rowOff>19080</xdr:rowOff>
    </xdr:from>
    <xdr:to>
      <xdr:col>3</xdr:col>
      <xdr:colOff>894960</xdr:colOff>
      <xdr:row>27</xdr:row>
      <xdr:rowOff>82080</xdr:rowOff>
    </xdr:to>
    <xdr:pic>
      <xdr:nvPicPr>
        <xdr:cNvPr id="4" name="Picture 4"/>
        <xdr:cNvPicPr/>
      </xdr:nvPicPr>
      <xdr:blipFill>
        <a:blip r:embed="rId4"/>
        <a:stretch/>
      </xdr:blipFill>
      <xdr:spPr>
        <a:xfrm>
          <a:off x="2271240" y="4533840"/>
          <a:ext cx="634680" cy="63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247680</xdr:colOff>
      <xdr:row>33</xdr:row>
      <xdr:rowOff>31680</xdr:rowOff>
    </xdr:from>
    <xdr:to>
      <xdr:col>3</xdr:col>
      <xdr:colOff>869760</xdr:colOff>
      <xdr:row>35</xdr:row>
      <xdr:rowOff>144000</xdr:rowOff>
    </xdr:to>
    <xdr:pic>
      <xdr:nvPicPr>
        <xdr:cNvPr id="5" name="Picture 8"/>
        <xdr:cNvPicPr/>
      </xdr:nvPicPr>
      <xdr:blipFill>
        <a:blip r:embed="rId5"/>
        <a:stretch/>
      </xdr:blipFill>
      <xdr:spPr>
        <a:xfrm>
          <a:off x="2258640" y="6232320"/>
          <a:ext cx="622080" cy="49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228600</xdr:colOff>
      <xdr:row>40</xdr:row>
      <xdr:rowOff>25560</xdr:rowOff>
    </xdr:from>
    <xdr:to>
      <xdr:col>3</xdr:col>
      <xdr:colOff>958320</xdr:colOff>
      <xdr:row>42</xdr:row>
      <xdr:rowOff>128880</xdr:rowOff>
    </xdr:to>
    <xdr:pic>
      <xdr:nvPicPr>
        <xdr:cNvPr id="6" name="Picture 7"/>
        <xdr:cNvPicPr/>
      </xdr:nvPicPr>
      <xdr:blipFill>
        <a:blip r:embed="rId6"/>
        <a:stretch/>
      </xdr:blipFill>
      <xdr:spPr>
        <a:xfrm>
          <a:off x="2239560" y="7531200"/>
          <a:ext cx="729720" cy="48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372240</xdr:colOff>
      <xdr:row>47</xdr:row>
      <xdr:rowOff>16560</xdr:rowOff>
    </xdr:from>
    <xdr:to>
      <xdr:col>3</xdr:col>
      <xdr:colOff>971280</xdr:colOff>
      <xdr:row>50</xdr:row>
      <xdr:rowOff>44280</xdr:rowOff>
    </xdr:to>
    <xdr:pic>
      <xdr:nvPicPr>
        <xdr:cNvPr id="7" name="Picture 11"/>
        <xdr:cNvPicPr/>
      </xdr:nvPicPr>
      <xdr:blipFill>
        <a:blip r:embed="rId7"/>
        <a:stretch/>
      </xdr:blipFill>
      <xdr:spPr>
        <a:xfrm>
          <a:off x="2383200" y="8827200"/>
          <a:ext cx="599040" cy="59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374760</xdr:colOff>
      <xdr:row>51</xdr:row>
      <xdr:rowOff>19080</xdr:rowOff>
    </xdr:from>
    <xdr:to>
      <xdr:col>3</xdr:col>
      <xdr:colOff>973800</xdr:colOff>
      <xdr:row>54</xdr:row>
      <xdr:rowOff>46800</xdr:rowOff>
    </xdr:to>
    <xdr:pic>
      <xdr:nvPicPr>
        <xdr:cNvPr id="8" name="Picture 6"/>
        <xdr:cNvPicPr/>
      </xdr:nvPicPr>
      <xdr:blipFill>
        <a:blip r:embed="rId8"/>
        <a:stretch/>
      </xdr:blipFill>
      <xdr:spPr>
        <a:xfrm>
          <a:off x="2385720" y="9591840"/>
          <a:ext cx="599040" cy="59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203040</xdr:colOff>
      <xdr:row>55</xdr:row>
      <xdr:rowOff>31680</xdr:rowOff>
    </xdr:from>
    <xdr:to>
      <xdr:col>3</xdr:col>
      <xdr:colOff>1102680</xdr:colOff>
      <xdr:row>57</xdr:row>
      <xdr:rowOff>167400</xdr:rowOff>
    </xdr:to>
    <xdr:pic>
      <xdr:nvPicPr>
        <xdr:cNvPr id="9" name="Picture 10"/>
        <xdr:cNvPicPr/>
      </xdr:nvPicPr>
      <xdr:blipFill>
        <a:blip r:embed="rId9"/>
        <a:srcRect l="18154" t="33394" r="22460" b="37603"/>
        <a:stretch/>
      </xdr:blipFill>
      <xdr:spPr>
        <a:xfrm>
          <a:off x="2214000" y="10366200"/>
          <a:ext cx="899640" cy="51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203040</xdr:colOff>
      <xdr:row>65</xdr:row>
      <xdr:rowOff>69840</xdr:rowOff>
    </xdr:from>
    <xdr:to>
      <xdr:col>3</xdr:col>
      <xdr:colOff>1084680</xdr:colOff>
      <xdr:row>69</xdr:row>
      <xdr:rowOff>69840</xdr:rowOff>
    </xdr:to>
    <xdr:pic>
      <xdr:nvPicPr>
        <xdr:cNvPr id="10" name="Picture 9"/>
        <xdr:cNvPicPr/>
      </xdr:nvPicPr>
      <xdr:blipFill>
        <a:blip r:embed="rId10"/>
        <a:srcRect l="15223" t="30009" r="11328" b="22411"/>
        <a:stretch/>
      </xdr:blipFill>
      <xdr:spPr>
        <a:xfrm>
          <a:off x="2214000" y="12281040"/>
          <a:ext cx="88164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108000</xdr:colOff>
      <xdr:row>75</xdr:row>
      <xdr:rowOff>50760</xdr:rowOff>
    </xdr:from>
    <xdr:to>
      <xdr:col>3</xdr:col>
      <xdr:colOff>1007640</xdr:colOff>
      <xdr:row>78</xdr:row>
      <xdr:rowOff>28080</xdr:rowOff>
    </xdr:to>
    <xdr:pic>
      <xdr:nvPicPr>
        <xdr:cNvPr id="11" name="Picture 12"/>
        <xdr:cNvPicPr/>
      </xdr:nvPicPr>
      <xdr:blipFill>
        <a:blip r:embed="rId11"/>
        <a:stretch/>
      </xdr:blipFill>
      <xdr:spPr>
        <a:xfrm>
          <a:off x="2118960" y="14138280"/>
          <a:ext cx="899640" cy="54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38160</xdr:colOff>
      <xdr:row>3</xdr:row>
      <xdr:rowOff>53280</xdr:rowOff>
    </xdr:from>
    <xdr:to>
      <xdr:col>3</xdr:col>
      <xdr:colOff>937800</xdr:colOff>
      <xdr:row>7</xdr:row>
      <xdr:rowOff>84240</xdr:rowOff>
    </xdr:to>
    <xdr:pic>
      <xdr:nvPicPr>
        <xdr:cNvPr id="12" name="Picture 1"/>
        <xdr:cNvPicPr/>
      </xdr:nvPicPr>
      <xdr:blipFill>
        <a:blip r:embed="rId1"/>
        <a:stretch/>
      </xdr:blipFill>
      <xdr:spPr>
        <a:xfrm>
          <a:off x="1834560" y="605880"/>
          <a:ext cx="899640" cy="783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190440</xdr:colOff>
      <xdr:row>15</xdr:row>
      <xdr:rowOff>15120</xdr:rowOff>
    </xdr:from>
    <xdr:to>
      <xdr:col>3</xdr:col>
      <xdr:colOff>868320</xdr:colOff>
      <xdr:row>18</xdr:row>
      <xdr:rowOff>131040</xdr:rowOff>
    </xdr:to>
    <xdr:pic>
      <xdr:nvPicPr>
        <xdr:cNvPr id="13" name="Picture 4"/>
        <xdr:cNvPicPr/>
      </xdr:nvPicPr>
      <xdr:blipFill>
        <a:blip r:embed="rId2"/>
        <a:stretch/>
      </xdr:blipFill>
      <xdr:spPr>
        <a:xfrm>
          <a:off x="1986840" y="2834640"/>
          <a:ext cx="677880" cy="67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203040</xdr:colOff>
      <xdr:row>23</xdr:row>
      <xdr:rowOff>38160</xdr:rowOff>
    </xdr:from>
    <xdr:to>
      <xdr:col>3</xdr:col>
      <xdr:colOff>786960</xdr:colOff>
      <xdr:row>26</xdr:row>
      <xdr:rowOff>60120</xdr:rowOff>
    </xdr:to>
    <xdr:pic>
      <xdr:nvPicPr>
        <xdr:cNvPr id="14" name="Picture 5"/>
        <xdr:cNvPicPr/>
      </xdr:nvPicPr>
      <xdr:blipFill>
        <a:blip r:embed="rId3"/>
        <a:stretch/>
      </xdr:blipFill>
      <xdr:spPr>
        <a:xfrm>
          <a:off x="1999440" y="4343400"/>
          <a:ext cx="583920" cy="58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177840</xdr:colOff>
      <xdr:row>31</xdr:row>
      <xdr:rowOff>25560</xdr:rowOff>
    </xdr:from>
    <xdr:to>
      <xdr:col>3</xdr:col>
      <xdr:colOff>825120</xdr:colOff>
      <xdr:row>34</xdr:row>
      <xdr:rowOff>110880</xdr:rowOff>
    </xdr:to>
    <xdr:pic>
      <xdr:nvPicPr>
        <xdr:cNvPr id="15" name="Picture 8"/>
        <xdr:cNvPicPr/>
      </xdr:nvPicPr>
      <xdr:blipFill>
        <a:blip r:embed="rId4"/>
        <a:stretch/>
      </xdr:blipFill>
      <xdr:spPr>
        <a:xfrm>
          <a:off x="1974240" y="5816880"/>
          <a:ext cx="64728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69840</xdr:colOff>
      <xdr:row>43</xdr:row>
      <xdr:rowOff>25560</xdr:rowOff>
    </xdr:from>
    <xdr:to>
      <xdr:col>3</xdr:col>
      <xdr:colOff>969480</xdr:colOff>
      <xdr:row>47</xdr:row>
      <xdr:rowOff>187920</xdr:rowOff>
    </xdr:to>
    <xdr:pic>
      <xdr:nvPicPr>
        <xdr:cNvPr id="16" name="Picture 3"/>
        <xdr:cNvPicPr/>
      </xdr:nvPicPr>
      <xdr:blipFill>
        <a:blip r:embed="rId5"/>
        <a:srcRect l="7071" t="26535" r="16498" b="15742"/>
        <a:stretch/>
      </xdr:blipFill>
      <xdr:spPr>
        <a:xfrm>
          <a:off x="1866240" y="8055000"/>
          <a:ext cx="899640" cy="905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165240</xdr:colOff>
      <xdr:row>53</xdr:row>
      <xdr:rowOff>25560</xdr:rowOff>
    </xdr:from>
    <xdr:to>
      <xdr:col>3</xdr:col>
      <xdr:colOff>831600</xdr:colOff>
      <xdr:row>56</xdr:row>
      <xdr:rowOff>129960</xdr:rowOff>
    </xdr:to>
    <xdr:pic>
      <xdr:nvPicPr>
        <xdr:cNvPr id="17" name="Picture 6"/>
        <xdr:cNvPicPr/>
      </xdr:nvPicPr>
      <xdr:blipFill>
        <a:blip r:embed="rId6"/>
        <a:stretch/>
      </xdr:blipFill>
      <xdr:spPr>
        <a:xfrm>
          <a:off x="1961640" y="9912600"/>
          <a:ext cx="666360" cy="666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182880</xdr:colOff>
      <xdr:row>9</xdr:row>
      <xdr:rowOff>45720</xdr:rowOff>
    </xdr:from>
    <xdr:to>
      <xdr:col>3</xdr:col>
      <xdr:colOff>1082520</xdr:colOff>
      <xdr:row>12</xdr:row>
      <xdr:rowOff>28080</xdr:rowOff>
    </xdr:to>
    <xdr:pic>
      <xdr:nvPicPr>
        <xdr:cNvPr id="18" name="Picture 1"/>
        <xdr:cNvPicPr/>
      </xdr:nvPicPr>
      <xdr:blipFill>
        <a:blip r:embed="rId1"/>
        <a:stretch/>
      </xdr:blipFill>
      <xdr:spPr>
        <a:xfrm>
          <a:off x="2021040" y="1741320"/>
          <a:ext cx="899640" cy="55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99000</xdr:colOff>
      <xdr:row>17</xdr:row>
      <xdr:rowOff>45720</xdr:rowOff>
    </xdr:from>
    <xdr:to>
      <xdr:col>3</xdr:col>
      <xdr:colOff>1189800</xdr:colOff>
      <xdr:row>21</xdr:row>
      <xdr:rowOff>45720</xdr:rowOff>
    </xdr:to>
    <xdr:pic>
      <xdr:nvPicPr>
        <xdr:cNvPr id="19" name="Picture 5"/>
        <xdr:cNvPicPr/>
      </xdr:nvPicPr>
      <xdr:blipFill>
        <a:blip r:embed="rId2"/>
        <a:srcRect l="0" t="34818" r="0" b="12819"/>
        <a:stretch/>
      </xdr:blipFill>
      <xdr:spPr>
        <a:xfrm>
          <a:off x="1937160" y="3236760"/>
          <a:ext cx="109080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304920</xdr:colOff>
      <xdr:row>3</xdr:row>
      <xdr:rowOff>15120</xdr:rowOff>
    </xdr:from>
    <xdr:to>
      <xdr:col>3</xdr:col>
      <xdr:colOff>933120</xdr:colOff>
      <xdr:row>7</xdr:row>
      <xdr:rowOff>91080</xdr:rowOff>
    </xdr:to>
    <xdr:pic>
      <xdr:nvPicPr>
        <xdr:cNvPr id="20" name="Picture 6"/>
        <xdr:cNvPicPr/>
      </xdr:nvPicPr>
      <xdr:blipFill>
        <a:blip r:embed="rId3"/>
        <a:stretch/>
      </xdr:blipFill>
      <xdr:spPr>
        <a:xfrm>
          <a:off x="2143080" y="567720"/>
          <a:ext cx="62820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205920</xdr:colOff>
      <xdr:row>22</xdr:row>
      <xdr:rowOff>0</xdr:rowOff>
    </xdr:from>
    <xdr:to>
      <xdr:col>3</xdr:col>
      <xdr:colOff>1013400</xdr:colOff>
      <xdr:row>26</xdr:row>
      <xdr:rowOff>45360</xdr:rowOff>
    </xdr:to>
    <xdr:pic>
      <xdr:nvPicPr>
        <xdr:cNvPr id="21" name="Picture 7"/>
        <xdr:cNvPicPr/>
      </xdr:nvPicPr>
      <xdr:blipFill>
        <a:blip r:embed="rId4"/>
        <a:stretch/>
      </xdr:blipFill>
      <xdr:spPr>
        <a:xfrm>
          <a:off x="2044080" y="4143240"/>
          <a:ext cx="807480" cy="80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129600</xdr:colOff>
      <xdr:row>31</xdr:row>
      <xdr:rowOff>45720</xdr:rowOff>
    </xdr:from>
    <xdr:to>
      <xdr:col>3</xdr:col>
      <xdr:colOff>997920</xdr:colOff>
      <xdr:row>34</xdr:row>
      <xdr:rowOff>90360</xdr:rowOff>
    </xdr:to>
    <xdr:pic>
      <xdr:nvPicPr>
        <xdr:cNvPr id="22" name="Picture 4"/>
        <xdr:cNvPicPr/>
      </xdr:nvPicPr>
      <xdr:blipFill>
        <a:blip r:embed="rId5"/>
        <a:srcRect l="20577" t="30312" r="11152" b="33369"/>
        <a:stretch/>
      </xdr:blipFill>
      <xdr:spPr>
        <a:xfrm>
          <a:off x="1967760" y="5875200"/>
          <a:ext cx="868320" cy="61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53280</xdr:colOff>
      <xdr:row>35</xdr:row>
      <xdr:rowOff>15120</xdr:rowOff>
    </xdr:from>
    <xdr:to>
      <xdr:col>3</xdr:col>
      <xdr:colOff>1149480</xdr:colOff>
      <xdr:row>38</xdr:row>
      <xdr:rowOff>52560</xdr:rowOff>
    </xdr:to>
    <xdr:pic>
      <xdr:nvPicPr>
        <xdr:cNvPr id="23" name="Picture 9"/>
        <xdr:cNvPicPr/>
      </xdr:nvPicPr>
      <xdr:blipFill>
        <a:blip r:embed="rId6"/>
        <a:srcRect l="15833" t="38033" r="10948" b="32194"/>
        <a:stretch/>
      </xdr:blipFill>
      <xdr:spPr>
        <a:xfrm>
          <a:off x="1891440" y="6606360"/>
          <a:ext cx="10962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76320</xdr:colOff>
      <xdr:row>39</xdr:row>
      <xdr:rowOff>15120</xdr:rowOff>
    </xdr:from>
    <xdr:to>
      <xdr:col>3</xdr:col>
      <xdr:colOff>1081800</xdr:colOff>
      <xdr:row>42</xdr:row>
      <xdr:rowOff>42840</xdr:rowOff>
    </xdr:to>
    <xdr:pic>
      <xdr:nvPicPr>
        <xdr:cNvPr id="24" name="Picture 11"/>
        <xdr:cNvPicPr/>
      </xdr:nvPicPr>
      <xdr:blipFill>
        <a:blip r:embed="rId7"/>
        <a:srcRect l="14255" t="33051" r="10651" b="34155"/>
        <a:stretch/>
      </xdr:blipFill>
      <xdr:spPr>
        <a:xfrm>
          <a:off x="1914480" y="7368480"/>
          <a:ext cx="1005480" cy="59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177840</xdr:colOff>
      <xdr:row>48</xdr:row>
      <xdr:rowOff>44280</xdr:rowOff>
    </xdr:from>
    <xdr:to>
      <xdr:col>3</xdr:col>
      <xdr:colOff>1077480</xdr:colOff>
      <xdr:row>49</xdr:row>
      <xdr:rowOff>143280</xdr:rowOff>
    </xdr:to>
    <xdr:pic>
      <xdr:nvPicPr>
        <xdr:cNvPr id="25" name="Picture 8"/>
        <xdr:cNvPicPr/>
      </xdr:nvPicPr>
      <xdr:blipFill>
        <a:blip r:embed="rId8"/>
        <a:stretch/>
      </xdr:blipFill>
      <xdr:spPr>
        <a:xfrm>
          <a:off x="2016000" y="9083520"/>
          <a:ext cx="899640" cy="28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336600</xdr:colOff>
      <xdr:row>58</xdr:row>
      <xdr:rowOff>38160</xdr:rowOff>
    </xdr:from>
    <xdr:to>
      <xdr:col>3</xdr:col>
      <xdr:colOff>853920</xdr:colOff>
      <xdr:row>61</xdr:row>
      <xdr:rowOff>177840</xdr:rowOff>
    </xdr:to>
    <xdr:pic>
      <xdr:nvPicPr>
        <xdr:cNvPr id="26" name="Picture 10"/>
        <xdr:cNvPicPr/>
      </xdr:nvPicPr>
      <xdr:blipFill>
        <a:blip r:embed="rId9"/>
        <a:stretch/>
      </xdr:blipFill>
      <xdr:spPr>
        <a:xfrm>
          <a:off x="2174760" y="10982520"/>
          <a:ext cx="517320" cy="71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184320</xdr:colOff>
      <xdr:row>51</xdr:row>
      <xdr:rowOff>38160</xdr:rowOff>
    </xdr:from>
    <xdr:to>
      <xdr:col>3</xdr:col>
      <xdr:colOff>1083960</xdr:colOff>
      <xdr:row>54</xdr:row>
      <xdr:rowOff>102600</xdr:rowOff>
    </xdr:to>
    <xdr:pic>
      <xdr:nvPicPr>
        <xdr:cNvPr id="27" name="Picture 13"/>
        <xdr:cNvPicPr/>
      </xdr:nvPicPr>
      <xdr:blipFill>
        <a:blip r:embed="rId10"/>
        <a:stretch/>
      </xdr:blipFill>
      <xdr:spPr>
        <a:xfrm>
          <a:off x="2022480" y="9648720"/>
          <a:ext cx="899640" cy="63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139680</xdr:colOff>
      <xdr:row>72</xdr:row>
      <xdr:rowOff>31680</xdr:rowOff>
    </xdr:from>
    <xdr:to>
      <xdr:col>3</xdr:col>
      <xdr:colOff>1039320</xdr:colOff>
      <xdr:row>75</xdr:row>
      <xdr:rowOff>105120</xdr:rowOff>
    </xdr:to>
    <xdr:pic>
      <xdr:nvPicPr>
        <xdr:cNvPr id="28" name="Picture 16"/>
        <xdr:cNvPicPr/>
      </xdr:nvPicPr>
      <xdr:blipFill>
        <a:blip r:embed="rId11"/>
        <a:stretch/>
      </xdr:blipFill>
      <xdr:spPr>
        <a:xfrm>
          <a:off x="1977840" y="13604760"/>
          <a:ext cx="899640" cy="64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152280</xdr:colOff>
      <xdr:row>66</xdr:row>
      <xdr:rowOff>19080</xdr:rowOff>
    </xdr:from>
    <xdr:to>
      <xdr:col>3</xdr:col>
      <xdr:colOff>1051920</xdr:colOff>
      <xdr:row>70</xdr:row>
      <xdr:rowOff>183960</xdr:rowOff>
    </xdr:to>
    <xdr:pic>
      <xdr:nvPicPr>
        <xdr:cNvPr id="29" name="Picture 18"/>
        <xdr:cNvPicPr/>
      </xdr:nvPicPr>
      <xdr:blipFill>
        <a:blip r:embed="rId12"/>
        <a:srcRect l="0" t="0" r="0" b="14537"/>
        <a:stretch/>
      </xdr:blipFill>
      <xdr:spPr>
        <a:xfrm>
          <a:off x="1990440" y="12458880"/>
          <a:ext cx="899640" cy="92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184320</xdr:colOff>
      <xdr:row>93</xdr:row>
      <xdr:rowOff>38160</xdr:rowOff>
    </xdr:from>
    <xdr:to>
      <xdr:col>3</xdr:col>
      <xdr:colOff>1083960</xdr:colOff>
      <xdr:row>96</xdr:row>
      <xdr:rowOff>102960</xdr:rowOff>
    </xdr:to>
    <xdr:pic>
      <xdr:nvPicPr>
        <xdr:cNvPr id="30" name="Picture 15"/>
        <xdr:cNvPicPr/>
      </xdr:nvPicPr>
      <xdr:blipFill>
        <a:blip r:embed="rId13"/>
        <a:stretch/>
      </xdr:blipFill>
      <xdr:spPr>
        <a:xfrm>
          <a:off x="2022480" y="17554680"/>
          <a:ext cx="899640" cy="63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389880</xdr:colOff>
      <xdr:row>82</xdr:row>
      <xdr:rowOff>12600</xdr:rowOff>
    </xdr:from>
    <xdr:to>
      <xdr:col>3</xdr:col>
      <xdr:colOff>884880</xdr:colOff>
      <xdr:row>84</xdr:row>
      <xdr:rowOff>126360</xdr:rowOff>
    </xdr:to>
    <xdr:pic>
      <xdr:nvPicPr>
        <xdr:cNvPr id="31" name="Picture 20"/>
        <xdr:cNvPicPr/>
      </xdr:nvPicPr>
      <xdr:blipFill>
        <a:blip r:embed="rId14"/>
        <a:stretch/>
      </xdr:blipFill>
      <xdr:spPr>
        <a:xfrm>
          <a:off x="2228040" y="15462000"/>
          <a:ext cx="495000" cy="49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387360</xdr:colOff>
      <xdr:row>85</xdr:row>
      <xdr:rowOff>10440</xdr:rowOff>
    </xdr:from>
    <xdr:to>
      <xdr:col>3</xdr:col>
      <xdr:colOff>891000</xdr:colOff>
      <xdr:row>87</xdr:row>
      <xdr:rowOff>133200</xdr:rowOff>
    </xdr:to>
    <xdr:pic>
      <xdr:nvPicPr>
        <xdr:cNvPr id="32" name="Picture 21"/>
        <xdr:cNvPicPr/>
      </xdr:nvPicPr>
      <xdr:blipFill>
        <a:blip r:embed="rId15"/>
        <a:stretch/>
      </xdr:blipFill>
      <xdr:spPr>
        <a:xfrm>
          <a:off x="2225520" y="16031520"/>
          <a:ext cx="503640" cy="50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184320</xdr:colOff>
      <xdr:row>97</xdr:row>
      <xdr:rowOff>38160</xdr:rowOff>
    </xdr:from>
    <xdr:to>
      <xdr:col>3</xdr:col>
      <xdr:colOff>1083960</xdr:colOff>
      <xdr:row>101</xdr:row>
      <xdr:rowOff>176040</xdr:rowOff>
    </xdr:to>
    <xdr:pic>
      <xdr:nvPicPr>
        <xdr:cNvPr id="33" name="Picture 12"/>
        <xdr:cNvPicPr/>
      </xdr:nvPicPr>
      <xdr:blipFill>
        <a:blip r:embed="rId16"/>
        <a:stretch/>
      </xdr:blipFill>
      <xdr:spPr>
        <a:xfrm>
          <a:off x="2022480" y="18316800"/>
          <a:ext cx="899640" cy="8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216000</xdr:colOff>
      <xdr:row>108</xdr:row>
      <xdr:rowOff>31680</xdr:rowOff>
    </xdr:from>
    <xdr:to>
      <xdr:col>3</xdr:col>
      <xdr:colOff>1115640</xdr:colOff>
      <xdr:row>111</xdr:row>
      <xdr:rowOff>159480</xdr:rowOff>
    </xdr:to>
    <xdr:pic>
      <xdr:nvPicPr>
        <xdr:cNvPr id="34" name="Picture 19"/>
        <xdr:cNvPicPr/>
      </xdr:nvPicPr>
      <xdr:blipFill>
        <a:blip r:embed="rId17"/>
        <a:srcRect l="0" t="27585" r="0" b="0"/>
        <a:stretch/>
      </xdr:blipFill>
      <xdr:spPr>
        <a:xfrm>
          <a:off x="2054160" y="20377080"/>
          <a:ext cx="899640" cy="699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330120</xdr:colOff>
      <xdr:row>117</xdr:row>
      <xdr:rowOff>25560</xdr:rowOff>
    </xdr:from>
    <xdr:to>
      <xdr:col>3</xdr:col>
      <xdr:colOff>1053720</xdr:colOff>
      <xdr:row>120</xdr:row>
      <xdr:rowOff>177480</xdr:rowOff>
    </xdr:to>
    <xdr:pic>
      <xdr:nvPicPr>
        <xdr:cNvPr id="35" name="Picture 22"/>
        <xdr:cNvPicPr/>
      </xdr:nvPicPr>
      <xdr:blipFill>
        <a:blip r:embed="rId18"/>
        <a:stretch/>
      </xdr:blipFill>
      <xdr:spPr>
        <a:xfrm>
          <a:off x="2168280" y="22056840"/>
          <a:ext cx="723600" cy="72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302400</xdr:colOff>
      <xdr:row>122</xdr:row>
      <xdr:rowOff>16560</xdr:rowOff>
    </xdr:from>
    <xdr:to>
      <xdr:col>3</xdr:col>
      <xdr:colOff>990360</xdr:colOff>
      <xdr:row>125</xdr:row>
      <xdr:rowOff>133200</xdr:rowOff>
    </xdr:to>
    <xdr:pic>
      <xdr:nvPicPr>
        <xdr:cNvPr id="36" name="Picture 25"/>
        <xdr:cNvPicPr/>
      </xdr:nvPicPr>
      <xdr:blipFill>
        <a:blip r:embed="rId19"/>
        <a:stretch/>
      </xdr:blipFill>
      <xdr:spPr>
        <a:xfrm>
          <a:off x="2140560" y="23000400"/>
          <a:ext cx="687960" cy="68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325440</xdr:colOff>
      <xdr:row>127</xdr:row>
      <xdr:rowOff>27000</xdr:rowOff>
    </xdr:from>
    <xdr:to>
      <xdr:col>3</xdr:col>
      <xdr:colOff>1015560</xdr:colOff>
      <xdr:row>130</xdr:row>
      <xdr:rowOff>145800</xdr:rowOff>
    </xdr:to>
    <xdr:pic>
      <xdr:nvPicPr>
        <xdr:cNvPr id="37" name="Picture 27"/>
        <xdr:cNvPicPr/>
      </xdr:nvPicPr>
      <xdr:blipFill>
        <a:blip r:embed="rId20"/>
        <a:stretch/>
      </xdr:blipFill>
      <xdr:spPr>
        <a:xfrm>
          <a:off x="2163600" y="23963400"/>
          <a:ext cx="690120" cy="69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199080</xdr:colOff>
      <xdr:row>132</xdr:row>
      <xdr:rowOff>25560</xdr:rowOff>
    </xdr:from>
    <xdr:to>
      <xdr:col>3</xdr:col>
      <xdr:colOff>1098720</xdr:colOff>
      <xdr:row>136</xdr:row>
      <xdr:rowOff>163440</xdr:rowOff>
    </xdr:to>
    <xdr:pic>
      <xdr:nvPicPr>
        <xdr:cNvPr id="38" name="Picture 2"/>
        <xdr:cNvPicPr/>
      </xdr:nvPicPr>
      <xdr:blipFill>
        <a:blip r:embed="rId21"/>
        <a:stretch/>
      </xdr:blipFill>
      <xdr:spPr>
        <a:xfrm>
          <a:off x="2037240" y="24914520"/>
          <a:ext cx="899640" cy="8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222120</xdr:colOff>
      <xdr:row>137</xdr:row>
      <xdr:rowOff>35640</xdr:rowOff>
    </xdr:from>
    <xdr:to>
      <xdr:col>3</xdr:col>
      <xdr:colOff>1121760</xdr:colOff>
      <xdr:row>141</xdr:row>
      <xdr:rowOff>173160</xdr:rowOff>
    </xdr:to>
    <xdr:pic>
      <xdr:nvPicPr>
        <xdr:cNvPr id="39" name="Picture 17"/>
        <xdr:cNvPicPr/>
      </xdr:nvPicPr>
      <xdr:blipFill>
        <a:blip r:embed="rId22"/>
        <a:stretch/>
      </xdr:blipFill>
      <xdr:spPr>
        <a:xfrm>
          <a:off x="2060280" y="25876800"/>
          <a:ext cx="899640" cy="8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146160</xdr:colOff>
      <xdr:row>147</xdr:row>
      <xdr:rowOff>50760</xdr:rowOff>
    </xdr:from>
    <xdr:to>
      <xdr:col>3</xdr:col>
      <xdr:colOff>1149120</xdr:colOff>
      <xdr:row>150</xdr:row>
      <xdr:rowOff>35280</xdr:rowOff>
    </xdr:to>
    <xdr:pic>
      <xdr:nvPicPr>
        <xdr:cNvPr id="40" name="Picture 24"/>
        <xdr:cNvPicPr/>
      </xdr:nvPicPr>
      <xdr:blipFill>
        <a:blip r:embed="rId23"/>
        <a:srcRect l="23625" t="47660" r="20724" b="29264"/>
        <a:stretch/>
      </xdr:blipFill>
      <xdr:spPr>
        <a:xfrm>
          <a:off x="1984320" y="27768600"/>
          <a:ext cx="1002960" cy="55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317520</xdr:colOff>
      <xdr:row>158</xdr:row>
      <xdr:rowOff>25560</xdr:rowOff>
    </xdr:from>
    <xdr:to>
      <xdr:col>3</xdr:col>
      <xdr:colOff>883080</xdr:colOff>
      <xdr:row>161</xdr:row>
      <xdr:rowOff>177840</xdr:rowOff>
    </xdr:to>
    <xdr:pic>
      <xdr:nvPicPr>
        <xdr:cNvPr id="41" name="Picture 14"/>
        <xdr:cNvPicPr/>
      </xdr:nvPicPr>
      <xdr:blipFill>
        <a:blip r:embed="rId24"/>
        <a:srcRect l="23210" t="25151" r="16513" b="17036"/>
        <a:stretch/>
      </xdr:blipFill>
      <xdr:spPr>
        <a:xfrm>
          <a:off x="2155680" y="29838960"/>
          <a:ext cx="565560" cy="72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184320</xdr:colOff>
      <xdr:row>151</xdr:row>
      <xdr:rowOff>38160</xdr:rowOff>
    </xdr:from>
    <xdr:to>
      <xdr:col>3</xdr:col>
      <xdr:colOff>1083960</xdr:colOff>
      <xdr:row>153</xdr:row>
      <xdr:rowOff>153000</xdr:rowOff>
    </xdr:to>
    <xdr:pic>
      <xdr:nvPicPr>
        <xdr:cNvPr id="42" name="Picture 26"/>
        <xdr:cNvPicPr/>
      </xdr:nvPicPr>
      <xdr:blipFill>
        <a:blip r:embed="rId25"/>
        <a:stretch/>
      </xdr:blipFill>
      <xdr:spPr>
        <a:xfrm>
          <a:off x="2022480" y="28517760"/>
          <a:ext cx="899640" cy="49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209520</xdr:colOff>
      <xdr:row>155</xdr:row>
      <xdr:rowOff>38160</xdr:rowOff>
    </xdr:from>
    <xdr:to>
      <xdr:col>3</xdr:col>
      <xdr:colOff>1109160</xdr:colOff>
      <xdr:row>156</xdr:row>
      <xdr:rowOff>127080</xdr:rowOff>
    </xdr:to>
    <xdr:pic>
      <xdr:nvPicPr>
        <xdr:cNvPr id="43" name="Picture 29"/>
        <xdr:cNvPicPr/>
      </xdr:nvPicPr>
      <xdr:blipFill>
        <a:blip r:embed="rId26"/>
        <a:stretch/>
      </xdr:blipFill>
      <xdr:spPr>
        <a:xfrm>
          <a:off x="2047680" y="29279880"/>
          <a:ext cx="899640" cy="27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324000</xdr:colOff>
      <xdr:row>167</xdr:row>
      <xdr:rowOff>12600</xdr:rowOff>
    </xdr:from>
    <xdr:to>
      <xdr:col>3</xdr:col>
      <xdr:colOff>983880</xdr:colOff>
      <xdr:row>170</xdr:row>
      <xdr:rowOff>101160</xdr:rowOff>
    </xdr:to>
    <xdr:pic>
      <xdr:nvPicPr>
        <xdr:cNvPr id="44" name="Picture 34"/>
        <xdr:cNvPicPr/>
      </xdr:nvPicPr>
      <xdr:blipFill>
        <a:blip r:embed="rId27"/>
        <a:stretch/>
      </xdr:blipFill>
      <xdr:spPr>
        <a:xfrm>
          <a:off x="2162160" y="31511880"/>
          <a:ext cx="659880" cy="65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26280</xdr:colOff>
      <xdr:row>185</xdr:row>
      <xdr:rowOff>6120</xdr:rowOff>
    </xdr:from>
    <xdr:to>
      <xdr:col>3</xdr:col>
      <xdr:colOff>750600</xdr:colOff>
      <xdr:row>191</xdr:row>
      <xdr:rowOff>56520</xdr:rowOff>
    </xdr:to>
    <xdr:pic>
      <xdr:nvPicPr>
        <xdr:cNvPr id="45" name="Picture 23"/>
        <xdr:cNvPicPr/>
      </xdr:nvPicPr>
      <xdr:blipFill>
        <a:blip r:embed="rId28"/>
        <a:stretch/>
      </xdr:blipFill>
      <xdr:spPr>
        <a:xfrm rot="16200000">
          <a:off x="1629720" y="35139960"/>
          <a:ext cx="1193400" cy="72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272880</xdr:colOff>
      <xdr:row>175</xdr:row>
      <xdr:rowOff>6480</xdr:rowOff>
    </xdr:from>
    <xdr:to>
      <xdr:col>3</xdr:col>
      <xdr:colOff>1085400</xdr:colOff>
      <xdr:row>179</xdr:row>
      <xdr:rowOff>12960</xdr:rowOff>
    </xdr:to>
    <xdr:pic>
      <xdr:nvPicPr>
        <xdr:cNvPr id="46" name="Picture 30"/>
        <xdr:cNvPicPr/>
      </xdr:nvPicPr>
      <xdr:blipFill>
        <a:blip r:embed="rId29"/>
        <a:srcRect l="0" t="15889" r="0" b="13225"/>
        <a:stretch/>
      </xdr:blipFill>
      <xdr:spPr>
        <a:xfrm>
          <a:off x="2111040" y="33001200"/>
          <a:ext cx="812520" cy="76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355680</xdr:colOff>
      <xdr:row>180</xdr:row>
      <xdr:rowOff>12600</xdr:rowOff>
    </xdr:from>
    <xdr:to>
      <xdr:col>3</xdr:col>
      <xdr:colOff>983880</xdr:colOff>
      <xdr:row>184</xdr:row>
      <xdr:rowOff>38880</xdr:rowOff>
    </xdr:to>
    <xdr:pic>
      <xdr:nvPicPr>
        <xdr:cNvPr id="47" name="Picture 32"/>
        <xdr:cNvPicPr/>
      </xdr:nvPicPr>
      <xdr:blipFill>
        <a:blip r:embed="rId30"/>
        <a:srcRect l="11604" t="13966" r="13823" b="15884"/>
        <a:stretch/>
      </xdr:blipFill>
      <xdr:spPr>
        <a:xfrm>
          <a:off x="2193840" y="33959880"/>
          <a:ext cx="628200" cy="78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320040</xdr:colOff>
      <xdr:row>14</xdr:row>
      <xdr:rowOff>23040</xdr:rowOff>
    </xdr:from>
    <xdr:to>
      <xdr:col>3</xdr:col>
      <xdr:colOff>761760</xdr:colOff>
      <xdr:row>17</xdr:row>
      <xdr:rowOff>40680</xdr:rowOff>
    </xdr:to>
    <xdr:pic>
      <xdr:nvPicPr>
        <xdr:cNvPr id="48" name="Picture 30"/>
        <xdr:cNvPicPr/>
      </xdr:nvPicPr>
      <xdr:blipFill>
        <a:blip r:embed="rId1"/>
        <a:stretch/>
      </xdr:blipFill>
      <xdr:spPr>
        <a:xfrm>
          <a:off x="2331000" y="2661480"/>
          <a:ext cx="441720" cy="58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281880</xdr:colOff>
      <xdr:row>3</xdr:row>
      <xdr:rowOff>15120</xdr:rowOff>
    </xdr:from>
    <xdr:to>
      <xdr:col>3</xdr:col>
      <xdr:colOff>837720</xdr:colOff>
      <xdr:row>5</xdr:row>
      <xdr:rowOff>190080</xdr:rowOff>
    </xdr:to>
    <xdr:pic>
      <xdr:nvPicPr>
        <xdr:cNvPr id="49" name="Picture 26"/>
        <xdr:cNvPicPr/>
      </xdr:nvPicPr>
      <xdr:blipFill>
        <a:blip r:embed="rId2"/>
        <a:stretch/>
      </xdr:blipFill>
      <xdr:spPr>
        <a:xfrm>
          <a:off x="2292840" y="558000"/>
          <a:ext cx="555840" cy="55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287280</xdr:colOff>
      <xdr:row>6</xdr:row>
      <xdr:rowOff>20520</xdr:rowOff>
    </xdr:from>
    <xdr:to>
      <xdr:col>3</xdr:col>
      <xdr:colOff>838080</xdr:colOff>
      <xdr:row>8</xdr:row>
      <xdr:rowOff>190440</xdr:rowOff>
    </xdr:to>
    <xdr:pic>
      <xdr:nvPicPr>
        <xdr:cNvPr id="50" name="Picture 32"/>
        <xdr:cNvPicPr/>
      </xdr:nvPicPr>
      <xdr:blipFill>
        <a:blip r:embed="rId3"/>
        <a:stretch/>
      </xdr:blipFill>
      <xdr:spPr>
        <a:xfrm>
          <a:off x="2298240" y="1135080"/>
          <a:ext cx="550800" cy="55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251640</xdr:colOff>
      <xdr:row>23</xdr:row>
      <xdr:rowOff>15120</xdr:rowOff>
    </xdr:from>
    <xdr:to>
      <xdr:col>3</xdr:col>
      <xdr:colOff>906480</xdr:colOff>
      <xdr:row>26</xdr:row>
      <xdr:rowOff>98280</xdr:rowOff>
    </xdr:to>
    <xdr:pic>
      <xdr:nvPicPr>
        <xdr:cNvPr id="51" name="Picture 2"/>
        <xdr:cNvPicPr/>
      </xdr:nvPicPr>
      <xdr:blipFill>
        <a:blip r:embed="rId4"/>
        <a:stretch/>
      </xdr:blipFill>
      <xdr:spPr>
        <a:xfrm>
          <a:off x="2262600" y="4339440"/>
          <a:ext cx="654840" cy="65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243720</xdr:colOff>
      <xdr:row>31</xdr:row>
      <xdr:rowOff>15120</xdr:rowOff>
    </xdr:from>
    <xdr:to>
      <xdr:col>3</xdr:col>
      <xdr:colOff>906480</xdr:colOff>
      <xdr:row>34</xdr:row>
      <xdr:rowOff>106200</xdr:rowOff>
    </xdr:to>
    <xdr:pic>
      <xdr:nvPicPr>
        <xdr:cNvPr id="52" name="Picture 5"/>
        <xdr:cNvPicPr/>
      </xdr:nvPicPr>
      <xdr:blipFill>
        <a:blip r:embed="rId5"/>
        <a:stretch/>
      </xdr:blipFill>
      <xdr:spPr>
        <a:xfrm>
          <a:off x="2254680" y="5834880"/>
          <a:ext cx="662760" cy="662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251640</xdr:colOff>
      <xdr:row>35</xdr:row>
      <xdr:rowOff>182880</xdr:rowOff>
    </xdr:from>
    <xdr:to>
      <xdr:col>3</xdr:col>
      <xdr:colOff>807480</xdr:colOff>
      <xdr:row>38</xdr:row>
      <xdr:rowOff>167400</xdr:rowOff>
    </xdr:to>
    <xdr:pic>
      <xdr:nvPicPr>
        <xdr:cNvPr id="53" name="Picture 3"/>
        <xdr:cNvPicPr/>
      </xdr:nvPicPr>
      <xdr:blipFill>
        <a:blip r:embed="rId6"/>
        <a:stretch/>
      </xdr:blipFill>
      <xdr:spPr>
        <a:xfrm>
          <a:off x="2262600" y="6764760"/>
          <a:ext cx="555840" cy="55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243720</xdr:colOff>
      <xdr:row>39</xdr:row>
      <xdr:rowOff>15120</xdr:rowOff>
    </xdr:from>
    <xdr:to>
      <xdr:col>3</xdr:col>
      <xdr:colOff>845280</xdr:colOff>
      <xdr:row>42</xdr:row>
      <xdr:rowOff>45000</xdr:rowOff>
    </xdr:to>
    <xdr:pic>
      <xdr:nvPicPr>
        <xdr:cNvPr id="54" name="Picture 6"/>
        <xdr:cNvPicPr/>
      </xdr:nvPicPr>
      <xdr:blipFill>
        <a:blip r:embed="rId7"/>
        <a:stretch/>
      </xdr:blipFill>
      <xdr:spPr>
        <a:xfrm>
          <a:off x="2254680" y="7358760"/>
          <a:ext cx="601560" cy="60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289440</xdr:colOff>
      <xdr:row>43</xdr:row>
      <xdr:rowOff>23040</xdr:rowOff>
    </xdr:from>
    <xdr:to>
      <xdr:col>3</xdr:col>
      <xdr:colOff>898560</xdr:colOff>
      <xdr:row>46</xdr:row>
      <xdr:rowOff>60480</xdr:rowOff>
    </xdr:to>
    <xdr:pic>
      <xdr:nvPicPr>
        <xdr:cNvPr id="55" name="Picture 8"/>
        <xdr:cNvPicPr/>
      </xdr:nvPicPr>
      <xdr:blipFill>
        <a:blip r:embed="rId8"/>
        <a:stretch/>
      </xdr:blipFill>
      <xdr:spPr>
        <a:xfrm>
          <a:off x="2300400" y="8128800"/>
          <a:ext cx="60912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291960</xdr:colOff>
      <xdr:row>52</xdr:row>
      <xdr:rowOff>0</xdr:rowOff>
    </xdr:from>
    <xdr:to>
      <xdr:col>3</xdr:col>
      <xdr:colOff>812160</xdr:colOff>
      <xdr:row>54</xdr:row>
      <xdr:rowOff>138960</xdr:rowOff>
    </xdr:to>
    <xdr:pic>
      <xdr:nvPicPr>
        <xdr:cNvPr id="56" name="Picture 7"/>
        <xdr:cNvPicPr/>
      </xdr:nvPicPr>
      <xdr:blipFill>
        <a:blip r:embed="rId9"/>
        <a:stretch/>
      </xdr:blipFill>
      <xdr:spPr>
        <a:xfrm>
          <a:off x="2302920" y="9791640"/>
          <a:ext cx="520200" cy="52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241200</xdr:colOff>
      <xdr:row>56</xdr:row>
      <xdr:rowOff>6480</xdr:rowOff>
    </xdr:from>
    <xdr:to>
      <xdr:col>3</xdr:col>
      <xdr:colOff>825120</xdr:colOff>
      <xdr:row>59</xdr:row>
      <xdr:rowOff>19080</xdr:rowOff>
    </xdr:to>
    <xdr:pic>
      <xdr:nvPicPr>
        <xdr:cNvPr id="57" name="Picture 1"/>
        <xdr:cNvPicPr/>
      </xdr:nvPicPr>
      <xdr:blipFill>
        <a:blip r:embed="rId10"/>
        <a:stretch/>
      </xdr:blipFill>
      <xdr:spPr>
        <a:xfrm>
          <a:off x="2252160" y="10560240"/>
          <a:ext cx="583920" cy="58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228600</xdr:colOff>
      <xdr:row>71</xdr:row>
      <xdr:rowOff>25560</xdr:rowOff>
    </xdr:from>
    <xdr:to>
      <xdr:col>3</xdr:col>
      <xdr:colOff>907560</xdr:colOff>
      <xdr:row>74</xdr:row>
      <xdr:rowOff>133200</xdr:rowOff>
    </xdr:to>
    <xdr:pic>
      <xdr:nvPicPr>
        <xdr:cNvPr id="58" name="Picture 17"/>
        <xdr:cNvPicPr/>
      </xdr:nvPicPr>
      <xdr:blipFill>
        <a:blip r:embed="rId11"/>
        <a:stretch/>
      </xdr:blipFill>
      <xdr:spPr>
        <a:xfrm>
          <a:off x="2239560" y="13408200"/>
          <a:ext cx="678960" cy="67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228600</xdr:colOff>
      <xdr:row>65</xdr:row>
      <xdr:rowOff>19080</xdr:rowOff>
    </xdr:from>
    <xdr:to>
      <xdr:col>3</xdr:col>
      <xdr:colOff>939600</xdr:colOff>
      <xdr:row>68</xdr:row>
      <xdr:rowOff>158760</xdr:rowOff>
    </xdr:to>
    <xdr:pic>
      <xdr:nvPicPr>
        <xdr:cNvPr id="59" name="Picture 18"/>
        <xdr:cNvPicPr/>
      </xdr:nvPicPr>
      <xdr:blipFill>
        <a:blip r:embed="rId12"/>
        <a:stretch/>
      </xdr:blipFill>
      <xdr:spPr>
        <a:xfrm>
          <a:off x="2239560" y="12258720"/>
          <a:ext cx="711000" cy="71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235080</xdr:colOff>
      <xdr:row>76</xdr:row>
      <xdr:rowOff>19080</xdr:rowOff>
    </xdr:from>
    <xdr:to>
      <xdr:col>3</xdr:col>
      <xdr:colOff>920520</xdr:colOff>
      <xdr:row>80</xdr:row>
      <xdr:rowOff>136800</xdr:rowOff>
    </xdr:to>
    <xdr:pic>
      <xdr:nvPicPr>
        <xdr:cNvPr id="60" name="Picture 19"/>
        <xdr:cNvPicPr/>
      </xdr:nvPicPr>
      <xdr:blipFill>
        <a:blip r:embed="rId13"/>
        <a:stretch/>
      </xdr:blipFill>
      <xdr:spPr>
        <a:xfrm>
          <a:off x="2246040" y="14354280"/>
          <a:ext cx="685440" cy="879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235080</xdr:colOff>
      <xdr:row>86</xdr:row>
      <xdr:rowOff>12600</xdr:rowOff>
    </xdr:from>
    <xdr:to>
      <xdr:col>3</xdr:col>
      <xdr:colOff>857160</xdr:colOff>
      <xdr:row>89</xdr:row>
      <xdr:rowOff>63000</xdr:rowOff>
    </xdr:to>
    <xdr:pic>
      <xdr:nvPicPr>
        <xdr:cNvPr id="61" name="Picture 13"/>
        <xdr:cNvPicPr/>
      </xdr:nvPicPr>
      <xdr:blipFill>
        <a:blip r:embed="rId14"/>
        <a:stretch/>
      </xdr:blipFill>
      <xdr:spPr>
        <a:xfrm>
          <a:off x="2246040" y="16224120"/>
          <a:ext cx="622080" cy="62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279360</xdr:colOff>
      <xdr:row>95</xdr:row>
      <xdr:rowOff>38160</xdr:rowOff>
    </xdr:from>
    <xdr:to>
      <xdr:col>3</xdr:col>
      <xdr:colOff>945720</xdr:colOff>
      <xdr:row>98</xdr:row>
      <xdr:rowOff>132840</xdr:rowOff>
    </xdr:to>
    <xdr:pic>
      <xdr:nvPicPr>
        <xdr:cNvPr id="62" name="Picture 9"/>
        <xdr:cNvPicPr/>
      </xdr:nvPicPr>
      <xdr:blipFill>
        <a:blip r:embed="rId15"/>
        <a:stretch/>
      </xdr:blipFill>
      <xdr:spPr>
        <a:xfrm>
          <a:off x="2290320" y="17935560"/>
          <a:ext cx="66636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241200</xdr:colOff>
      <xdr:row>100</xdr:row>
      <xdr:rowOff>44280</xdr:rowOff>
    </xdr:from>
    <xdr:to>
      <xdr:col>3</xdr:col>
      <xdr:colOff>882360</xdr:colOff>
      <xdr:row>103</xdr:row>
      <xdr:rowOff>113760</xdr:rowOff>
    </xdr:to>
    <xdr:pic>
      <xdr:nvPicPr>
        <xdr:cNvPr id="63" name="Picture 4"/>
        <xdr:cNvPicPr/>
      </xdr:nvPicPr>
      <xdr:blipFill>
        <a:blip r:embed="rId16"/>
        <a:stretch/>
      </xdr:blipFill>
      <xdr:spPr>
        <a:xfrm>
          <a:off x="2252160" y="18894240"/>
          <a:ext cx="641160" cy="64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254160</xdr:colOff>
      <xdr:row>119</xdr:row>
      <xdr:rowOff>25560</xdr:rowOff>
    </xdr:from>
    <xdr:to>
      <xdr:col>3</xdr:col>
      <xdr:colOff>857160</xdr:colOff>
      <xdr:row>122</xdr:row>
      <xdr:rowOff>56880</xdr:rowOff>
    </xdr:to>
    <xdr:pic>
      <xdr:nvPicPr>
        <xdr:cNvPr id="64" name="Picture 22"/>
        <xdr:cNvPicPr/>
      </xdr:nvPicPr>
      <xdr:blipFill>
        <a:blip r:embed="rId17"/>
        <a:stretch/>
      </xdr:blipFill>
      <xdr:spPr>
        <a:xfrm>
          <a:off x="2265120" y="22428360"/>
          <a:ext cx="603000" cy="60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245160</xdr:colOff>
      <xdr:row>123</xdr:row>
      <xdr:rowOff>23040</xdr:rowOff>
    </xdr:from>
    <xdr:to>
      <xdr:col>3</xdr:col>
      <xdr:colOff>958320</xdr:colOff>
      <xdr:row>126</xdr:row>
      <xdr:rowOff>164880</xdr:rowOff>
    </xdr:to>
    <xdr:pic>
      <xdr:nvPicPr>
        <xdr:cNvPr id="65" name="Picture 24"/>
        <xdr:cNvPicPr/>
      </xdr:nvPicPr>
      <xdr:blipFill>
        <a:blip r:embed="rId18"/>
        <a:stretch/>
      </xdr:blipFill>
      <xdr:spPr>
        <a:xfrm>
          <a:off x="2256120" y="23187960"/>
          <a:ext cx="713160" cy="71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152280</xdr:colOff>
      <xdr:row>108</xdr:row>
      <xdr:rowOff>44280</xdr:rowOff>
    </xdr:from>
    <xdr:to>
      <xdr:col>3</xdr:col>
      <xdr:colOff>1051920</xdr:colOff>
      <xdr:row>112</xdr:row>
      <xdr:rowOff>182160</xdr:rowOff>
    </xdr:to>
    <xdr:pic>
      <xdr:nvPicPr>
        <xdr:cNvPr id="66" name="Picture 10"/>
        <xdr:cNvPicPr/>
      </xdr:nvPicPr>
      <xdr:blipFill>
        <a:blip r:embed="rId19"/>
        <a:stretch/>
      </xdr:blipFill>
      <xdr:spPr>
        <a:xfrm>
          <a:off x="2163240" y="20380320"/>
          <a:ext cx="899640" cy="8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66600</xdr:colOff>
      <xdr:row>127</xdr:row>
      <xdr:rowOff>54360</xdr:rowOff>
    </xdr:from>
    <xdr:to>
      <xdr:col>3</xdr:col>
      <xdr:colOff>282240</xdr:colOff>
      <xdr:row>132</xdr:row>
      <xdr:rowOff>152280</xdr:rowOff>
    </xdr:to>
    <xdr:pic>
      <xdr:nvPicPr>
        <xdr:cNvPr id="67" name="Picture 20"/>
        <xdr:cNvPicPr/>
      </xdr:nvPicPr>
      <xdr:blipFill>
        <a:blip r:embed="rId20"/>
        <a:srcRect l="31686" t="13800" r="42966" b="16774"/>
        <a:stretch/>
      </xdr:blipFill>
      <xdr:spPr>
        <a:xfrm rot="16200000">
          <a:off x="1659960" y="24398280"/>
          <a:ext cx="1050480" cy="21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311040</xdr:colOff>
      <xdr:row>130</xdr:row>
      <xdr:rowOff>25560</xdr:rowOff>
    </xdr:from>
    <xdr:to>
      <xdr:col>3</xdr:col>
      <xdr:colOff>856800</xdr:colOff>
      <xdr:row>133</xdr:row>
      <xdr:rowOff>183600</xdr:rowOff>
    </xdr:to>
    <xdr:pic>
      <xdr:nvPicPr>
        <xdr:cNvPr id="68" name="Picture 23"/>
        <xdr:cNvPicPr/>
      </xdr:nvPicPr>
      <xdr:blipFill>
        <a:blip r:embed="rId21"/>
        <a:stretch/>
      </xdr:blipFill>
      <xdr:spPr>
        <a:xfrm>
          <a:off x="2322000" y="24523920"/>
          <a:ext cx="545760" cy="72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291960</xdr:colOff>
      <xdr:row>139</xdr:row>
      <xdr:rowOff>19080</xdr:rowOff>
    </xdr:from>
    <xdr:to>
      <xdr:col>3</xdr:col>
      <xdr:colOff>939240</xdr:colOff>
      <xdr:row>142</xdr:row>
      <xdr:rowOff>95040</xdr:rowOff>
    </xdr:to>
    <xdr:pic>
      <xdr:nvPicPr>
        <xdr:cNvPr id="69" name="Picture 21"/>
        <xdr:cNvPicPr/>
      </xdr:nvPicPr>
      <xdr:blipFill>
        <a:blip r:embed="rId22"/>
        <a:stretch/>
      </xdr:blipFill>
      <xdr:spPr>
        <a:xfrm>
          <a:off x="2302920" y="26203320"/>
          <a:ext cx="647280" cy="647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177840</xdr:colOff>
      <xdr:row>3</xdr:row>
      <xdr:rowOff>12600</xdr:rowOff>
    </xdr:from>
    <xdr:to>
      <xdr:col>3</xdr:col>
      <xdr:colOff>1034640</xdr:colOff>
      <xdr:row>6</xdr:row>
      <xdr:rowOff>31320</xdr:rowOff>
    </xdr:to>
    <xdr:pic>
      <xdr:nvPicPr>
        <xdr:cNvPr id="70" name="Picture 3"/>
        <xdr:cNvPicPr/>
      </xdr:nvPicPr>
      <xdr:blipFill>
        <a:blip r:embed="rId1"/>
        <a:srcRect l="6943" t="36606" r="7695" b="19258"/>
        <a:stretch/>
      </xdr:blipFill>
      <xdr:spPr>
        <a:xfrm>
          <a:off x="2073960" y="555480"/>
          <a:ext cx="856800" cy="59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330120</xdr:colOff>
      <xdr:row>6</xdr:row>
      <xdr:rowOff>184320</xdr:rowOff>
    </xdr:from>
    <xdr:to>
      <xdr:col>3</xdr:col>
      <xdr:colOff>844200</xdr:colOff>
      <xdr:row>9</xdr:row>
      <xdr:rowOff>127080</xdr:rowOff>
    </xdr:to>
    <xdr:pic>
      <xdr:nvPicPr>
        <xdr:cNvPr id="71" name="Picture 9"/>
        <xdr:cNvPicPr/>
      </xdr:nvPicPr>
      <xdr:blipFill>
        <a:blip r:embed="rId2"/>
        <a:stretch/>
      </xdr:blipFill>
      <xdr:spPr>
        <a:xfrm>
          <a:off x="2226240" y="1298880"/>
          <a:ext cx="5140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346680</xdr:colOff>
      <xdr:row>10</xdr:row>
      <xdr:rowOff>3960</xdr:rowOff>
    </xdr:from>
    <xdr:to>
      <xdr:col>3</xdr:col>
      <xdr:colOff>825120</xdr:colOff>
      <xdr:row>12</xdr:row>
      <xdr:rowOff>101160</xdr:rowOff>
    </xdr:to>
    <xdr:pic>
      <xdr:nvPicPr>
        <xdr:cNvPr id="72" name="Picture 11"/>
        <xdr:cNvPicPr/>
      </xdr:nvPicPr>
      <xdr:blipFill>
        <a:blip r:embed="rId3"/>
        <a:stretch/>
      </xdr:blipFill>
      <xdr:spPr>
        <a:xfrm>
          <a:off x="2242800" y="1880280"/>
          <a:ext cx="478440" cy="478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325440</xdr:colOff>
      <xdr:row>13</xdr:row>
      <xdr:rowOff>20520</xdr:rowOff>
    </xdr:from>
    <xdr:to>
      <xdr:col>3</xdr:col>
      <xdr:colOff>869760</xdr:colOff>
      <xdr:row>15</xdr:row>
      <xdr:rowOff>183960</xdr:rowOff>
    </xdr:to>
    <xdr:pic>
      <xdr:nvPicPr>
        <xdr:cNvPr id="73" name="Picture 13"/>
        <xdr:cNvPicPr/>
      </xdr:nvPicPr>
      <xdr:blipFill>
        <a:blip r:embed="rId4"/>
        <a:stretch/>
      </xdr:blipFill>
      <xdr:spPr>
        <a:xfrm>
          <a:off x="2221560" y="2468520"/>
          <a:ext cx="544320" cy="54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209520</xdr:colOff>
      <xdr:row>20</xdr:row>
      <xdr:rowOff>25560</xdr:rowOff>
    </xdr:from>
    <xdr:to>
      <xdr:col>3</xdr:col>
      <xdr:colOff>952200</xdr:colOff>
      <xdr:row>24</xdr:row>
      <xdr:rowOff>6480</xdr:rowOff>
    </xdr:to>
    <xdr:pic>
      <xdr:nvPicPr>
        <xdr:cNvPr id="74" name="Picture 2"/>
        <xdr:cNvPicPr/>
      </xdr:nvPicPr>
      <xdr:blipFill>
        <a:blip r:embed="rId5"/>
        <a:stretch/>
      </xdr:blipFill>
      <xdr:spPr>
        <a:xfrm>
          <a:off x="2105640" y="3778560"/>
          <a:ext cx="742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247680</xdr:colOff>
      <xdr:row>25</xdr:row>
      <xdr:rowOff>25560</xdr:rowOff>
    </xdr:from>
    <xdr:to>
      <xdr:col>3</xdr:col>
      <xdr:colOff>907560</xdr:colOff>
      <xdr:row>28</xdr:row>
      <xdr:rowOff>113760</xdr:rowOff>
    </xdr:to>
    <xdr:pic>
      <xdr:nvPicPr>
        <xdr:cNvPr id="75" name="Picture 5"/>
        <xdr:cNvPicPr/>
      </xdr:nvPicPr>
      <xdr:blipFill>
        <a:blip r:embed="rId6"/>
        <a:stretch/>
      </xdr:blipFill>
      <xdr:spPr>
        <a:xfrm>
          <a:off x="2143800" y="4730760"/>
          <a:ext cx="659880" cy="65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152280</xdr:colOff>
      <xdr:row>33</xdr:row>
      <xdr:rowOff>25560</xdr:rowOff>
    </xdr:from>
    <xdr:to>
      <xdr:col>3</xdr:col>
      <xdr:colOff>1051920</xdr:colOff>
      <xdr:row>37</xdr:row>
      <xdr:rowOff>163080</xdr:rowOff>
    </xdr:to>
    <xdr:pic>
      <xdr:nvPicPr>
        <xdr:cNvPr id="76" name="Picture 7"/>
        <xdr:cNvPicPr/>
      </xdr:nvPicPr>
      <xdr:blipFill>
        <a:blip r:embed="rId7"/>
        <a:stretch/>
      </xdr:blipFill>
      <xdr:spPr>
        <a:xfrm>
          <a:off x="2048400" y="6226200"/>
          <a:ext cx="899640" cy="899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Q8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68" activeCellId="0" sqref="H68"/>
    </sheetView>
  </sheetViews>
  <sheetFormatPr defaultColWidth="8.5" defaultRowHeight="14.25" customHeight="false" zeroHeight="false" outlineLevelRow="0" outlineLevelCol="0"/>
  <cols>
    <col collapsed="false" customWidth="true" hidden="false" outlineLevel="0" max="3" min="3" style="0" width="11.54"/>
    <col collapsed="false" customWidth="true" hidden="false" outlineLevel="0" max="4" min="4" style="0" width="18.36"/>
    <col collapsed="false" customWidth="true" hidden="false" outlineLevel="0" max="6" min="6" style="0" width="15"/>
    <col collapsed="false" customWidth="true" hidden="false" outlineLevel="0" max="7" min="7" style="0" width="14.12"/>
  </cols>
  <sheetData>
    <row r="2" customFormat="false" ht="14.25" hidden="false" customHeight="true" outlineLevel="0" collapsed="false">
      <c r="A2" s="1" t="n">
        <v>1</v>
      </c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5"/>
      <c r="H2" s="5"/>
      <c r="I2" s="5"/>
      <c r="J2" s="5"/>
      <c r="K2" s="3" t="s">
        <v>5</v>
      </c>
      <c r="L2" s="3" t="s">
        <v>6</v>
      </c>
      <c r="M2" s="4" t="s">
        <v>7</v>
      </c>
      <c r="N2" s="4" t="s">
        <v>8</v>
      </c>
      <c r="O2" s="6" t="s">
        <v>9</v>
      </c>
    </row>
    <row r="3" customFormat="false" ht="14.25" hidden="false" customHeight="false" outlineLevel="0" collapsed="false">
      <c r="A3" s="1"/>
      <c r="B3" s="2"/>
      <c r="C3" s="3"/>
      <c r="D3" s="3"/>
      <c r="E3" s="4"/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3"/>
      <c r="L3" s="3"/>
      <c r="M3" s="4"/>
      <c r="N3" s="4"/>
      <c r="O3" s="6"/>
    </row>
    <row r="4" customFormat="false" ht="15" hidden="false" customHeight="false" outlineLevel="0" collapsed="false">
      <c r="A4" s="1"/>
      <c r="B4" s="8" t="n">
        <v>1</v>
      </c>
      <c r="C4" s="9" t="s">
        <v>15</v>
      </c>
      <c r="D4" s="9"/>
      <c r="E4" s="10" t="n">
        <v>21.68</v>
      </c>
      <c r="F4" s="11" t="s">
        <v>16</v>
      </c>
      <c r="G4" s="9" t="n">
        <f aca="false">397-10</f>
        <v>387</v>
      </c>
      <c r="H4" s="12" t="n">
        <f aca="false">1.55-0.04</f>
        <v>1.51</v>
      </c>
      <c r="I4" s="9" t="n">
        <v>40000</v>
      </c>
      <c r="J4" s="13" t="n">
        <f aca="false">I4*H4</f>
        <v>60400</v>
      </c>
      <c r="K4" s="14" t="n">
        <f aca="false">E4-(H4+H5+H6+H7+H8)/5</f>
        <v>18.676</v>
      </c>
      <c r="L4" s="14" t="n">
        <f aca="false">K4*80.5%</f>
        <v>15.03418</v>
      </c>
      <c r="M4" s="13" t="n">
        <f aca="false">L4*14700</f>
        <v>221002.446</v>
      </c>
      <c r="N4" s="13" t="n">
        <f aca="false">K4*400</f>
        <v>7470.4</v>
      </c>
      <c r="O4" s="15" t="n">
        <f aca="false">N4+M4+J4+J5+J6+J7+J8</f>
        <v>316261.846</v>
      </c>
    </row>
    <row r="5" customFormat="false" ht="15" hidden="false" customHeight="false" outlineLevel="0" collapsed="false">
      <c r="A5" s="1"/>
      <c r="B5" s="16" t="s">
        <v>17</v>
      </c>
      <c r="C5" s="17"/>
      <c r="D5" s="17"/>
      <c r="E5" s="18"/>
      <c r="F5" s="19" t="s">
        <v>16</v>
      </c>
      <c r="G5" s="17" t="n">
        <v>69</v>
      </c>
      <c r="H5" s="20" t="n">
        <v>0.65</v>
      </c>
      <c r="I5" s="17" t="n">
        <v>40000</v>
      </c>
      <c r="J5" s="21" t="n">
        <f aca="false">I5*H5</f>
        <v>26000</v>
      </c>
      <c r="K5" s="22"/>
      <c r="L5" s="22"/>
      <c r="M5" s="21"/>
      <c r="N5" s="21"/>
      <c r="O5" s="23"/>
    </row>
    <row r="6" customFormat="false" ht="15" hidden="false" customHeight="false" outlineLevel="0" collapsed="false">
      <c r="A6" s="1"/>
      <c r="B6" s="16"/>
      <c r="C6" s="17"/>
      <c r="D6" s="17"/>
      <c r="E6" s="18"/>
      <c r="F6" s="19" t="s">
        <v>18</v>
      </c>
      <c r="G6" s="17" t="n">
        <v>2</v>
      </c>
      <c r="H6" s="20" t="n">
        <v>0.78</v>
      </c>
      <c r="I6" s="17" t="n">
        <v>150</v>
      </c>
      <c r="J6" s="21" t="n">
        <f aca="false">I6*H6</f>
        <v>117</v>
      </c>
      <c r="K6" s="22"/>
      <c r="L6" s="22"/>
      <c r="M6" s="21"/>
      <c r="N6" s="21"/>
      <c r="O6" s="23"/>
    </row>
    <row r="7" customFormat="false" ht="15" hidden="false" customHeight="false" outlineLevel="0" collapsed="false">
      <c r="A7" s="1"/>
      <c r="B7" s="16"/>
      <c r="C7" s="17"/>
      <c r="D7" s="17"/>
      <c r="E7" s="18"/>
      <c r="F7" s="19" t="s">
        <v>19</v>
      </c>
      <c r="G7" s="17" t="n">
        <v>2</v>
      </c>
      <c r="H7" s="20" t="n">
        <v>1.28</v>
      </c>
      <c r="I7" s="17" t="n">
        <v>150</v>
      </c>
      <c r="J7" s="21" t="n">
        <f aca="false">I7*H7</f>
        <v>192</v>
      </c>
      <c r="K7" s="22"/>
      <c r="L7" s="22"/>
      <c r="M7" s="21"/>
      <c r="N7" s="21"/>
      <c r="O7" s="23"/>
    </row>
    <row r="8" customFormat="false" ht="15" hidden="false" customHeight="false" outlineLevel="0" collapsed="false">
      <c r="A8" s="1"/>
      <c r="B8" s="16"/>
      <c r="C8" s="17"/>
      <c r="D8" s="17"/>
      <c r="E8" s="18"/>
      <c r="F8" s="19" t="s">
        <v>20</v>
      </c>
      <c r="G8" s="17" t="n">
        <v>2</v>
      </c>
      <c r="H8" s="20" t="n">
        <v>10.8</v>
      </c>
      <c r="I8" s="17" t="n">
        <v>100</v>
      </c>
      <c r="J8" s="21" t="n">
        <f aca="false">I8*H8</f>
        <v>1080</v>
      </c>
      <c r="K8" s="22"/>
      <c r="L8" s="22"/>
      <c r="M8" s="21"/>
      <c r="N8" s="21"/>
      <c r="O8" s="23"/>
    </row>
    <row r="9" customFormat="false" ht="15" hidden="false" customHeight="false" outlineLevel="0" collapsed="false">
      <c r="A9" s="1"/>
      <c r="B9" s="16"/>
      <c r="C9" s="17"/>
      <c r="D9" s="17"/>
      <c r="E9" s="18"/>
      <c r="F9" s="19"/>
      <c r="G9" s="17"/>
      <c r="H9" s="20"/>
      <c r="I9" s="17"/>
      <c r="J9" s="21"/>
      <c r="K9" s="22"/>
      <c r="L9" s="22"/>
      <c r="M9" s="21"/>
      <c r="N9" s="21"/>
      <c r="O9" s="23"/>
    </row>
    <row r="10" customFormat="false" ht="15" hidden="false" customHeight="false" outlineLevel="0" collapsed="false">
      <c r="A10" s="1"/>
      <c r="B10" s="16" t="n">
        <v>2</v>
      </c>
      <c r="C10" s="17"/>
      <c r="D10" s="17"/>
      <c r="E10" s="24" t="n">
        <v>5</v>
      </c>
      <c r="F10" s="19" t="s">
        <v>21</v>
      </c>
      <c r="G10" s="17" t="n">
        <v>1</v>
      </c>
      <c r="H10" s="20" t="n">
        <v>3.95</v>
      </c>
      <c r="I10" s="17" t="n">
        <v>16000</v>
      </c>
      <c r="J10" s="21" t="n">
        <f aca="false">I10*H10</f>
        <v>63200</v>
      </c>
      <c r="K10" s="22" t="n">
        <f aca="false">E10-(H10+H11)/5</f>
        <v>4.21</v>
      </c>
      <c r="L10" s="22" t="n">
        <f aca="false">K10*80.5%</f>
        <v>3.38905</v>
      </c>
      <c r="M10" s="21" t="n">
        <f aca="false">L10*14700</f>
        <v>49819.035</v>
      </c>
      <c r="N10" s="21" t="n">
        <f aca="false">K10*400</f>
        <v>1684</v>
      </c>
      <c r="O10" s="23" t="n">
        <f aca="false">N10+M10+J10</f>
        <v>114703.035</v>
      </c>
    </row>
    <row r="11" customFormat="false" ht="15" hidden="false" customHeight="false" outlineLevel="0" collapsed="false">
      <c r="A11" s="1"/>
      <c r="B11" s="16" t="s">
        <v>22</v>
      </c>
      <c r="C11" s="17"/>
      <c r="D11" s="17"/>
      <c r="E11" s="18"/>
      <c r="F11" s="19"/>
      <c r="G11" s="17"/>
      <c r="H11" s="20"/>
      <c r="I11" s="17"/>
      <c r="J11" s="21"/>
      <c r="K11" s="22"/>
      <c r="L11" s="22"/>
      <c r="M11" s="21"/>
      <c r="N11" s="21"/>
      <c r="O11" s="23"/>
    </row>
    <row r="12" customFormat="false" ht="15" hidden="false" customHeight="false" outlineLevel="0" collapsed="false">
      <c r="A12" s="1"/>
      <c r="B12" s="16"/>
      <c r="C12" s="17"/>
      <c r="D12" s="17"/>
      <c r="E12" s="18"/>
      <c r="F12" s="19"/>
      <c r="G12" s="17"/>
      <c r="H12" s="20"/>
      <c r="I12" s="17"/>
      <c r="J12" s="21"/>
      <c r="K12" s="22"/>
      <c r="L12" s="22"/>
      <c r="M12" s="21"/>
      <c r="N12" s="21"/>
      <c r="O12" s="23"/>
    </row>
    <row r="13" customFormat="false" ht="15" hidden="false" customHeight="false" outlineLevel="0" collapsed="false">
      <c r="A13" s="1"/>
      <c r="B13" s="16"/>
      <c r="C13" s="17"/>
      <c r="D13" s="17"/>
      <c r="E13" s="18"/>
      <c r="F13" s="19"/>
      <c r="G13" s="17"/>
      <c r="H13" s="20"/>
      <c r="I13" s="17"/>
      <c r="J13" s="21"/>
      <c r="K13" s="22"/>
      <c r="L13" s="22"/>
      <c r="M13" s="21"/>
      <c r="N13" s="21"/>
      <c r="O13" s="23"/>
    </row>
    <row r="14" customFormat="false" ht="15" hidden="false" customHeight="false" outlineLevel="0" collapsed="false">
      <c r="A14" s="1"/>
      <c r="B14" s="25"/>
      <c r="C14" s="26"/>
      <c r="D14" s="26"/>
      <c r="E14" s="27"/>
      <c r="F14" s="28"/>
      <c r="G14" s="28"/>
      <c r="H14" s="29"/>
      <c r="I14" s="26"/>
      <c r="J14" s="30"/>
      <c r="K14" s="27"/>
      <c r="L14" s="27"/>
      <c r="M14" s="27"/>
      <c r="N14" s="31"/>
      <c r="O14" s="32"/>
    </row>
    <row r="15" customFormat="false" ht="15" hidden="false" customHeight="false" outlineLevel="0" collapsed="false">
      <c r="A15" s="1"/>
      <c r="B15" s="33"/>
      <c r="C15" s="34"/>
      <c r="D15" s="34"/>
      <c r="E15" s="35" t="n">
        <f aca="false">SUM(E4:E14)</f>
        <v>26.68</v>
      </c>
      <c r="F15" s="34"/>
      <c r="G15" s="34" t="n">
        <f aca="false">SUM(G4:G14)</f>
        <v>463</v>
      </c>
      <c r="H15" s="35" t="n">
        <f aca="false">SUM(H4:H14)</f>
        <v>18.97</v>
      </c>
      <c r="I15" s="34"/>
      <c r="J15" s="36" t="n">
        <f aca="false">SUM(J4:J14)</f>
        <v>150989</v>
      </c>
      <c r="K15" s="35" t="n">
        <f aca="false">SUM(K4:K14)</f>
        <v>22.886</v>
      </c>
      <c r="L15" s="35" t="n">
        <f aca="false">SUM(L4:L14)</f>
        <v>18.42323</v>
      </c>
      <c r="M15" s="36" t="n">
        <f aca="false">SUM(M4:M14)</f>
        <v>270821.481</v>
      </c>
      <c r="N15" s="37" t="n">
        <f aca="false">SUM(N4:N14)</f>
        <v>9154.4</v>
      </c>
      <c r="O15" s="38" t="n">
        <f aca="false">SUM(O4:O14)</f>
        <v>430964.881</v>
      </c>
      <c r="P15" s="0" t="s">
        <v>23</v>
      </c>
      <c r="Q15" s="0" t="s">
        <v>24</v>
      </c>
    </row>
    <row r="17" customFormat="false" ht="14.25" hidden="false" customHeight="true" outlineLevel="0" collapsed="false">
      <c r="A17" s="1" t="n">
        <v>2</v>
      </c>
      <c r="B17" s="2" t="s">
        <v>0</v>
      </c>
      <c r="C17" s="3" t="s">
        <v>1</v>
      </c>
      <c r="D17" s="3" t="s">
        <v>2</v>
      </c>
      <c r="E17" s="4" t="s">
        <v>3</v>
      </c>
      <c r="F17" s="5" t="s">
        <v>4</v>
      </c>
      <c r="G17" s="5"/>
      <c r="H17" s="5"/>
      <c r="I17" s="5"/>
      <c r="J17" s="5"/>
      <c r="K17" s="3" t="s">
        <v>5</v>
      </c>
      <c r="L17" s="3" t="s">
        <v>6</v>
      </c>
      <c r="M17" s="4" t="s">
        <v>7</v>
      </c>
      <c r="N17" s="4" t="s">
        <v>8</v>
      </c>
      <c r="O17" s="6" t="s">
        <v>9</v>
      </c>
    </row>
    <row r="18" customFormat="false" ht="14.25" hidden="false" customHeight="false" outlineLevel="0" collapsed="false">
      <c r="A18" s="1"/>
      <c r="B18" s="2"/>
      <c r="C18" s="3"/>
      <c r="D18" s="3"/>
      <c r="E18" s="4"/>
      <c r="F18" s="7" t="s">
        <v>10</v>
      </c>
      <c r="G18" s="7" t="s">
        <v>11</v>
      </c>
      <c r="H18" s="7" t="s">
        <v>12</v>
      </c>
      <c r="I18" s="7" t="s">
        <v>13</v>
      </c>
      <c r="J18" s="7" t="s">
        <v>14</v>
      </c>
      <c r="K18" s="3"/>
      <c r="L18" s="3"/>
      <c r="M18" s="4"/>
      <c r="N18" s="4"/>
      <c r="O18" s="6"/>
    </row>
    <row r="19" customFormat="false" ht="15" hidden="false" customHeight="false" outlineLevel="0" collapsed="false">
      <c r="A19" s="1"/>
      <c r="B19" s="8" t="n">
        <v>1</v>
      </c>
      <c r="C19" s="9" t="s">
        <v>25</v>
      </c>
      <c r="D19" s="9"/>
      <c r="E19" s="10" t="n">
        <v>28.5</v>
      </c>
      <c r="F19" s="11" t="s">
        <v>16</v>
      </c>
      <c r="G19" s="9" t="n">
        <v>638</v>
      </c>
      <c r="H19" s="12" t="n">
        <v>3.02</v>
      </c>
      <c r="I19" s="9" t="n">
        <v>40000</v>
      </c>
      <c r="J19" s="13" t="n">
        <f aca="false">I19*H19</f>
        <v>120800</v>
      </c>
      <c r="K19" s="14" t="n">
        <f aca="false">E19-(H19+H20+H21+H22+H23)/5</f>
        <v>24.69</v>
      </c>
      <c r="L19" s="14" t="n">
        <f aca="false">K19*80.5%</f>
        <v>19.87545</v>
      </c>
      <c r="M19" s="13" t="n">
        <f aca="false">L19*14940</f>
        <v>296939.223</v>
      </c>
      <c r="N19" s="13" t="n">
        <f aca="false">K19*400</f>
        <v>9876</v>
      </c>
      <c r="O19" s="15" t="n">
        <f aca="false">N19+M19+J19+J20+J21+J22+J23</f>
        <v>439682.723</v>
      </c>
    </row>
    <row r="20" customFormat="false" ht="15" hidden="false" customHeight="false" outlineLevel="0" collapsed="false">
      <c r="A20" s="1"/>
      <c r="B20" s="16" t="s">
        <v>17</v>
      </c>
      <c r="C20" s="17"/>
      <c r="D20" s="17"/>
      <c r="E20" s="18"/>
      <c r="F20" s="19" t="s">
        <v>16</v>
      </c>
      <c r="G20" s="17" t="n">
        <v>28</v>
      </c>
      <c r="H20" s="20" t="n">
        <v>0.26</v>
      </c>
      <c r="I20" s="17" t="n">
        <v>40000</v>
      </c>
      <c r="J20" s="21" t="n">
        <f aca="false">I20*H20</f>
        <v>10400</v>
      </c>
      <c r="K20" s="22"/>
      <c r="L20" s="22"/>
      <c r="M20" s="21"/>
      <c r="N20" s="21"/>
      <c r="O20" s="23"/>
    </row>
    <row r="21" customFormat="false" ht="15" hidden="false" customHeight="false" outlineLevel="0" collapsed="false">
      <c r="A21" s="1"/>
      <c r="B21" s="16"/>
      <c r="C21" s="17"/>
      <c r="D21" s="17"/>
      <c r="E21" s="18"/>
      <c r="F21" s="19" t="s">
        <v>18</v>
      </c>
      <c r="G21" s="17" t="n">
        <v>2</v>
      </c>
      <c r="H21" s="20" t="n">
        <v>0.71</v>
      </c>
      <c r="I21" s="17" t="n">
        <v>150</v>
      </c>
      <c r="J21" s="21" t="n">
        <f aca="false">I21*H21</f>
        <v>106.5</v>
      </c>
      <c r="K21" s="22"/>
      <c r="L21" s="22"/>
      <c r="M21" s="21"/>
      <c r="N21" s="21"/>
      <c r="O21" s="23"/>
    </row>
    <row r="22" customFormat="false" ht="15" hidden="false" customHeight="false" outlineLevel="0" collapsed="false">
      <c r="A22" s="1"/>
      <c r="B22" s="16"/>
      <c r="C22" s="17"/>
      <c r="D22" s="17"/>
      <c r="E22" s="18"/>
      <c r="F22" s="19" t="s">
        <v>19</v>
      </c>
      <c r="G22" s="17" t="n">
        <v>2</v>
      </c>
      <c r="H22" s="20" t="n">
        <v>1.1</v>
      </c>
      <c r="I22" s="17" t="n">
        <v>150</v>
      </c>
      <c r="J22" s="21" t="n">
        <f aca="false">I22*H22</f>
        <v>165</v>
      </c>
      <c r="K22" s="22"/>
      <c r="L22" s="22"/>
      <c r="M22" s="21"/>
      <c r="N22" s="21"/>
      <c r="O22" s="23"/>
    </row>
    <row r="23" customFormat="false" ht="15" hidden="false" customHeight="false" outlineLevel="0" collapsed="false">
      <c r="A23" s="1"/>
      <c r="B23" s="16"/>
      <c r="C23" s="17"/>
      <c r="D23" s="17"/>
      <c r="E23" s="18"/>
      <c r="F23" s="19" t="s">
        <v>20</v>
      </c>
      <c r="G23" s="17" t="n">
        <v>2</v>
      </c>
      <c r="H23" s="20" t="n">
        <v>13.96</v>
      </c>
      <c r="I23" s="17" t="n">
        <v>100</v>
      </c>
      <c r="J23" s="21" t="n">
        <f aca="false">I23*H23</f>
        <v>1396</v>
      </c>
      <c r="K23" s="22"/>
      <c r="L23" s="22"/>
      <c r="M23" s="21"/>
      <c r="N23" s="21"/>
      <c r="O23" s="23"/>
    </row>
    <row r="24" customFormat="false" ht="15" hidden="false" customHeight="false" outlineLevel="0" collapsed="false">
      <c r="A24" s="1"/>
      <c r="B24" s="16"/>
      <c r="C24" s="17"/>
      <c r="D24" s="17"/>
      <c r="E24" s="39"/>
      <c r="F24" s="40"/>
      <c r="G24" s="7"/>
      <c r="H24" s="41"/>
      <c r="I24" s="7"/>
      <c r="J24" s="42"/>
      <c r="K24" s="43"/>
      <c r="L24" s="43"/>
      <c r="M24" s="42"/>
      <c r="N24" s="42"/>
      <c r="O24" s="44"/>
    </row>
    <row r="25" customFormat="false" ht="15" hidden="false" customHeight="false" outlineLevel="0" collapsed="false">
      <c r="A25" s="1"/>
      <c r="B25" s="16" t="n">
        <v>2</v>
      </c>
      <c r="C25" s="17"/>
      <c r="D25" s="17"/>
      <c r="E25" s="24" t="n">
        <v>2.84</v>
      </c>
      <c r="F25" s="19" t="s">
        <v>16</v>
      </c>
      <c r="G25" s="17" t="n">
        <v>19</v>
      </c>
      <c r="H25" s="20" t="n">
        <v>0.33</v>
      </c>
      <c r="I25" s="17" t="n">
        <v>40000</v>
      </c>
      <c r="J25" s="21" t="n">
        <f aca="false">I25*H25</f>
        <v>13200</v>
      </c>
      <c r="K25" s="22" t="n">
        <f aca="false">E25-(H25+H26+H27)/5</f>
        <v>2.702</v>
      </c>
      <c r="L25" s="22" t="n">
        <f aca="false">K25*80.5%</f>
        <v>2.17511</v>
      </c>
      <c r="M25" s="21" t="n">
        <f aca="false">L25*14940</f>
        <v>32496.1434</v>
      </c>
      <c r="N25" s="21" t="n">
        <f aca="false">K25*400</f>
        <v>1080.8</v>
      </c>
      <c r="O25" s="23" t="n">
        <f aca="false">N25+M25+J25+J26</f>
        <v>61896.9434</v>
      </c>
    </row>
    <row r="26" customFormat="false" ht="15" hidden="false" customHeight="false" outlineLevel="0" collapsed="false">
      <c r="A26" s="1"/>
      <c r="B26" s="16" t="s">
        <v>17</v>
      </c>
      <c r="C26" s="17"/>
      <c r="D26" s="17"/>
      <c r="E26" s="18"/>
      <c r="F26" s="19" t="s">
        <v>16</v>
      </c>
      <c r="G26" s="17" t="n">
        <v>9</v>
      </c>
      <c r="H26" s="20" t="n">
        <v>0.36</v>
      </c>
      <c r="I26" s="17" t="n">
        <v>42000</v>
      </c>
      <c r="J26" s="21" t="n">
        <f aca="false">I26*H26</f>
        <v>15120</v>
      </c>
      <c r="K26" s="22"/>
      <c r="L26" s="22"/>
      <c r="M26" s="21"/>
      <c r="N26" s="21"/>
      <c r="O26" s="23"/>
    </row>
    <row r="27" customFormat="false" ht="15" hidden="false" customHeight="false" outlineLevel="0" collapsed="false">
      <c r="A27" s="1"/>
      <c r="B27" s="16"/>
      <c r="C27" s="17"/>
      <c r="D27" s="17"/>
      <c r="E27" s="18"/>
      <c r="F27" s="19"/>
      <c r="G27" s="17"/>
      <c r="H27" s="20"/>
      <c r="I27" s="17"/>
      <c r="J27" s="21"/>
      <c r="K27" s="22"/>
      <c r="L27" s="22"/>
      <c r="M27" s="21"/>
      <c r="N27" s="21"/>
      <c r="O27" s="23"/>
    </row>
    <row r="28" customFormat="false" ht="15" hidden="false" customHeight="false" outlineLevel="0" collapsed="false">
      <c r="A28" s="1"/>
      <c r="B28" s="16"/>
      <c r="C28" s="17"/>
      <c r="D28" s="17"/>
      <c r="E28" s="18"/>
      <c r="F28" s="19"/>
      <c r="G28" s="17"/>
      <c r="H28" s="20"/>
      <c r="I28" s="17"/>
      <c r="J28" s="21"/>
      <c r="K28" s="22"/>
      <c r="L28" s="22"/>
      <c r="M28" s="21"/>
      <c r="N28" s="21"/>
      <c r="O28" s="23"/>
    </row>
    <row r="29" customFormat="false" ht="15" hidden="false" customHeight="false" outlineLevel="0" collapsed="false">
      <c r="A29" s="1"/>
      <c r="B29" s="25"/>
      <c r="C29" s="26"/>
      <c r="D29" s="26"/>
      <c r="E29" s="27"/>
      <c r="F29" s="28"/>
      <c r="G29" s="28"/>
      <c r="H29" s="29"/>
      <c r="I29" s="26"/>
      <c r="J29" s="30"/>
      <c r="K29" s="27"/>
      <c r="L29" s="27"/>
      <c r="M29" s="27"/>
      <c r="N29" s="31"/>
      <c r="O29" s="32"/>
    </row>
    <row r="30" customFormat="false" ht="15" hidden="false" customHeight="false" outlineLevel="0" collapsed="false">
      <c r="A30" s="1"/>
      <c r="B30" s="33"/>
      <c r="C30" s="34"/>
      <c r="D30" s="34"/>
      <c r="E30" s="35" t="n">
        <f aca="false">SUM(E19:E29)</f>
        <v>31.34</v>
      </c>
      <c r="F30" s="34"/>
      <c r="G30" s="34" t="n">
        <f aca="false">SUM(G19:G29)</f>
        <v>700</v>
      </c>
      <c r="H30" s="35" t="n">
        <f aca="false">SUM(H19:H29)</f>
        <v>19.74</v>
      </c>
      <c r="I30" s="34"/>
      <c r="J30" s="36" t="n">
        <f aca="false">SUM(J19:J29)</f>
        <v>161187.5</v>
      </c>
      <c r="K30" s="35" t="n">
        <f aca="false">SUM(K19:K29)</f>
        <v>27.392</v>
      </c>
      <c r="L30" s="35" t="n">
        <f aca="false">SUM(L19:L29)</f>
        <v>22.05056</v>
      </c>
      <c r="M30" s="36" t="n">
        <f aca="false">SUM(M19:M29)</f>
        <v>329435.3664</v>
      </c>
      <c r="N30" s="37" t="n">
        <f aca="false">SUM(N19:N29)</f>
        <v>10956.8</v>
      </c>
      <c r="O30" s="38" t="n">
        <f aca="false">SUM(O19:O29)</f>
        <v>501579.6664</v>
      </c>
      <c r="P30" s="0" t="s">
        <v>23</v>
      </c>
      <c r="Q30" s="0" t="s">
        <v>26</v>
      </c>
    </row>
    <row r="32" customFormat="false" ht="14.25" hidden="false" customHeight="true" outlineLevel="0" collapsed="false">
      <c r="A32" s="1" t="n">
        <v>3</v>
      </c>
      <c r="B32" s="2" t="s">
        <v>0</v>
      </c>
      <c r="C32" s="3" t="s">
        <v>1</v>
      </c>
      <c r="D32" s="3" t="s">
        <v>2</v>
      </c>
      <c r="E32" s="4" t="s">
        <v>3</v>
      </c>
      <c r="F32" s="5" t="s">
        <v>4</v>
      </c>
      <c r="G32" s="5"/>
      <c r="H32" s="5"/>
      <c r="I32" s="5"/>
      <c r="J32" s="5"/>
      <c r="K32" s="3" t="s">
        <v>5</v>
      </c>
      <c r="L32" s="3" t="s">
        <v>6</v>
      </c>
      <c r="M32" s="4" t="s">
        <v>7</v>
      </c>
      <c r="N32" s="4" t="s">
        <v>8</v>
      </c>
      <c r="O32" s="6" t="s">
        <v>9</v>
      </c>
    </row>
    <row r="33" customFormat="false" ht="14.25" hidden="false" customHeight="false" outlineLevel="0" collapsed="false">
      <c r="A33" s="1"/>
      <c r="B33" s="2"/>
      <c r="C33" s="3"/>
      <c r="D33" s="3"/>
      <c r="E33" s="4"/>
      <c r="F33" s="7" t="s">
        <v>10</v>
      </c>
      <c r="G33" s="7" t="s">
        <v>11</v>
      </c>
      <c r="H33" s="7" t="s">
        <v>12</v>
      </c>
      <c r="I33" s="7" t="s">
        <v>13</v>
      </c>
      <c r="J33" s="7" t="s">
        <v>14</v>
      </c>
      <c r="K33" s="3"/>
      <c r="L33" s="3"/>
      <c r="M33" s="4"/>
      <c r="N33" s="4"/>
      <c r="O33" s="6"/>
    </row>
    <row r="34" customFormat="false" ht="15" hidden="false" customHeight="false" outlineLevel="0" collapsed="false">
      <c r="A34" s="1"/>
      <c r="B34" s="8" t="n">
        <v>1</v>
      </c>
      <c r="C34" s="9" t="s">
        <v>27</v>
      </c>
      <c r="D34" s="9"/>
      <c r="E34" s="10" t="n">
        <v>5.87</v>
      </c>
      <c r="F34" s="11" t="s">
        <v>16</v>
      </c>
      <c r="G34" s="9" t="n">
        <v>9</v>
      </c>
      <c r="H34" s="12" t="n">
        <v>0.32</v>
      </c>
      <c r="I34" s="9" t="n">
        <v>40000</v>
      </c>
      <c r="J34" s="13" t="n">
        <f aca="false">I34*H34</f>
        <v>12800</v>
      </c>
      <c r="K34" s="14" t="n">
        <f aca="false">E34-(H34+H35)/5</f>
        <v>5.806</v>
      </c>
      <c r="L34" s="14" t="n">
        <f aca="false">K34*80.5%</f>
        <v>4.67383</v>
      </c>
      <c r="M34" s="13" t="n">
        <f aca="false">L34*15262</f>
        <v>71331.99346</v>
      </c>
      <c r="N34" s="13" t="n">
        <f aca="false">K34*400</f>
        <v>2322.4</v>
      </c>
      <c r="O34" s="15" t="n">
        <f aca="false">N34+M34+J34</f>
        <v>86454.39346</v>
      </c>
    </row>
    <row r="35" customFormat="false" ht="15" hidden="false" customHeight="false" outlineLevel="0" collapsed="false">
      <c r="A35" s="1"/>
      <c r="B35" s="16" t="s">
        <v>17</v>
      </c>
      <c r="C35" s="17"/>
      <c r="D35" s="17"/>
      <c r="E35" s="18"/>
      <c r="F35" s="19"/>
      <c r="G35" s="17"/>
      <c r="H35" s="20"/>
      <c r="I35" s="17"/>
      <c r="J35" s="21"/>
      <c r="K35" s="22"/>
      <c r="L35" s="22"/>
      <c r="M35" s="21"/>
      <c r="N35" s="21"/>
      <c r="O35" s="23"/>
    </row>
    <row r="36" customFormat="false" ht="15" hidden="false" customHeight="false" outlineLevel="0" collapsed="false">
      <c r="A36" s="1"/>
      <c r="B36" s="25"/>
      <c r="C36" s="26"/>
      <c r="D36" s="26"/>
      <c r="E36" s="27"/>
      <c r="F36" s="28"/>
      <c r="G36" s="28"/>
      <c r="H36" s="29"/>
      <c r="I36" s="26"/>
      <c r="J36" s="30"/>
      <c r="K36" s="27"/>
      <c r="L36" s="27"/>
      <c r="M36" s="27"/>
      <c r="N36" s="31"/>
      <c r="O36" s="32"/>
    </row>
    <row r="37" customFormat="false" ht="15" hidden="false" customHeight="false" outlineLevel="0" collapsed="false">
      <c r="A37" s="1"/>
      <c r="B37" s="33"/>
      <c r="C37" s="34"/>
      <c r="D37" s="34"/>
      <c r="E37" s="35" t="n">
        <f aca="false">SUM(E34:E36)</f>
        <v>5.87</v>
      </c>
      <c r="F37" s="34"/>
      <c r="G37" s="34" t="n">
        <f aca="false">SUM(G34:G36)</f>
        <v>9</v>
      </c>
      <c r="H37" s="35" t="n">
        <f aca="false">SUM(H34:H36)</f>
        <v>0.32</v>
      </c>
      <c r="I37" s="34"/>
      <c r="J37" s="36" t="n">
        <f aca="false">SUM(J34:J36)</f>
        <v>12800</v>
      </c>
      <c r="K37" s="35" t="n">
        <f aca="false">SUM(K34:K36)</f>
        <v>5.806</v>
      </c>
      <c r="L37" s="35" t="n">
        <f aca="false">SUM(L34:L36)</f>
        <v>4.67383</v>
      </c>
      <c r="M37" s="36" t="n">
        <f aca="false">SUM(M34:M36)</f>
        <v>71331.99346</v>
      </c>
      <c r="N37" s="37" t="n">
        <f aca="false">SUM(N34:N36)</f>
        <v>2322.4</v>
      </c>
      <c r="O37" s="38" t="n">
        <f aca="false">SUM(O34:O36)</f>
        <v>86454.39346</v>
      </c>
      <c r="P37" s="0" t="s">
        <v>23</v>
      </c>
      <c r="Q37" s="0" t="s">
        <v>26</v>
      </c>
    </row>
    <row r="39" customFormat="false" ht="14.25" hidden="false" customHeight="true" outlineLevel="0" collapsed="false">
      <c r="A39" s="1" t="n">
        <v>4</v>
      </c>
      <c r="B39" s="2" t="s">
        <v>0</v>
      </c>
      <c r="C39" s="3" t="s">
        <v>1</v>
      </c>
      <c r="D39" s="3" t="s">
        <v>2</v>
      </c>
      <c r="E39" s="4" t="s">
        <v>3</v>
      </c>
      <c r="F39" s="5" t="s">
        <v>4</v>
      </c>
      <c r="G39" s="5"/>
      <c r="H39" s="5"/>
      <c r="I39" s="5"/>
      <c r="J39" s="5"/>
      <c r="K39" s="3" t="s">
        <v>5</v>
      </c>
      <c r="L39" s="3" t="s">
        <v>6</v>
      </c>
      <c r="M39" s="4" t="s">
        <v>28</v>
      </c>
      <c r="N39" s="4" t="s">
        <v>8</v>
      </c>
      <c r="O39" s="6" t="s">
        <v>9</v>
      </c>
    </row>
    <row r="40" customFormat="false" ht="14.25" hidden="false" customHeight="false" outlineLevel="0" collapsed="false">
      <c r="A40" s="1"/>
      <c r="B40" s="2"/>
      <c r="C40" s="3"/>
      <c r="D40" s="3"/>
      <c r="E40" s="4"/>
      <c r="F40" s="7" t="s">
        <v>10</v>
      </c>
      <c r="G40" s="7" t="s">
        <v>11</v>
      </c>
      <c r="H40" s="7" t="s">
        <v>12</v>
      </c>
      <c r="I40" s="7" t="s">
        <v>13</v>
      </c>
      <c r="J40" s="7" t="s">
        <v>14</v>
      </c>
      <c r="K40" s="3"/>
      <c r="L40" s="3"/>
      <c r="M40" s="4"/>
      <c r="N40" s="4"/>
      <c r="O40" s="6"/>
    </row>
    <row r="41" customFormat="false" ht="15" hidden="false" customHeight="false" outlineLevel="0" collapsed="false">
      <c r="A41" s="1"/>
      <c r="B41" s="8" t="n">
        <v>1</v>
      </c>
      <c r="C41" s="9" t="s">
        <v>27</v>
      </c>
      <c r="D41" s="9"/>
      <c r="E41" s="10" t="n">
        <v>4.23</v>
      </c>
      <c r="F41" s="11" t="s">
        <v>29</v>
      </c>
      <c r="G41" s="9" t="n">
        <v>1</v>
      </c>
      <c r="H41" s="12" t="n">
        <v>4.32</v>
      </c>
      <c r="I41" s="9" t="n">
        <v>28000</v>
      </c>
      <c r="J41" s="13" t="n">
        <f aca="false">I41*H41</f>
        <v>120960</v>
      </c>
      <c r="K41" s="14" t="n">
        <f aca="false">E41-(H41+H42)/5</f>
        <v>3.366</v>
      </c>
      <c r="L41" s="14"/>
      <c r="M41" s="13" t="n">
        <f aca="false">K41*280</f>
        <v>942.48</v>
      </c>
      <c r="N41" s="13" t="n">
        <f aca="false">K41*350</f>
        <v>1178.1</v>
      </c>
      <c r="O41" s="15" t="n">
        <f aca="false">N41+M41+J41</f>
        <v>123080.58</v>
      </c>
    </row>
    <row r="42" customFormat="false" ht="15" hidden="false" customHeight="false" outlineLevel="0" collapsed="false">
      <c r="A42" s="1"/>
      <c r="B42" s="16" t="s">
        <v>30</v>
      </c>
      <c r="C42" s="17"/>
      <c r="D42" s="17"/>
      <c r="E42" s="18"/>
      <c r="F42" s="19"/>
      <c r="G42" s="17"/>
      <c r="H42" s="20"/>
      <c r="I42" s="17"/>
      <c r="J42" s="21"/>
      <c r="K42" s="22"/>
      <c r="L42" s="22"/>
      <c r="M42" s="21"/>
      <c r="N42" s="21"/>
      <c r="O42" s="23"/>
    </row>
    <row r="43" customFormat="false" ht="15" hidden="false" customHeight="false" outlineLevel="0" collapsed="false">
      <c r="A43" s="1"/>
      <c r="B43" s="25"/>
      <c r="C43" s="26"/>
      <c r="D43" s="26"/>
      <c r="E43" s="27"/>
      <c r="F43" s="28"/>
      <c r="G43" s="28"/>
      <c r="H43" s="29"/>
      <c r="I43" s="26"/>
      <c r="J43" s="30"/>
      <c r="K43" s="27"/>
      <c r="L43" s="27"/>
      <c r="M43" s="27"/>
      <c r="N43" s="31"/>
      <c r="O43" s="32"/>
    </row>
    <row r="44" customFormat="false" ht="15" hidden="false" customHeight="false" outlineLevel="0" collapsed="false">
      <c r="A44" s="1"/>
      <c r="B44" s="33"/>
      <c r="C44" s="34"/>
      <c r="D44" s="34"/>
      <c r="E44" s="35" t="n">
        <f aca="false">SUM(E41:E43)</f>
        <v>4.23</v>
      </c>
      <c r="F44" s="34"/>
      <c r="G44" s="34" t="n">
        <f aca="false">SUM(G41:G43)</f>
        <v>1</v>
      </c>
      <c r="H44" s="35" t="n">
        <f aca="false">SUM(H41:H43)</f>
        <v>4.32</v>
      </c>
      <c r="I44" s="34"/>
      <c r="J44" s="36" t="n">
        <f aca="false">SUM(J41:J43)</f>
        <v>120960</v>
      </c>
      <c r="K44" s="35" t="n">
        <f aca="false">SUM(K41:K43)</f>
        <v>3.366</v>
      </c>
      <c r="L44" s="35" t="n">
        <f aca="false">SUM(L41:L43)</f>
        <v>0</v>
      </c>
      <c r="M44" s="36" t="n">
        <f aca="false">SUM(M41:M43)</f>
        <v>942.48</v>
      </c>
      <c r="N44" s="37" t="n">
        <f aca="false">SUM(N41:N43)</f>
        <v>1178.1</v>
      </c>
      <c r="O44" s="38" t="n">
        <f aca="false">SUM(O41:O43)</f>
        <v>123080.58</v>
      </c>
      <c r="P44" s="0" t="s">
        <v>23</v>
      </c>
    </row>
    <row r="46" customFormat="false" ht="14.25" hidden="false" customHeight="true" outlineLevel="0" collapsed="false">
      <c r="A46" s="1" t="n">
        <v>5</v>
      </c>
      <c r="B46" s="2" t="s">
        <v>0</v>
      </c>
      <c r="C46" s="3" t="s">
        <v>1</v>
      </c>
      <c r="D46" s="3" t="s">
        <v>2</v>
      </c>
      <c r="E46" s="4" t="s">
        <v>3</v>
      </c>
      <c r="F46" s="5" t="s">
        <v>4</v>
      </c>
      <c r="G46" s="5"/>
      <c r="H46" s="5"/>
      <c r="I46" s="5"/>
      <c r="J46" s="5"/>
      <c r="K46" s="3" t="s">
        <v>5</v>
      </c>
      <c r="L46" s="3" t="s">
        <v>6</v>
      </c>
      <c r="M46" s="4" t="s">
        <v>7</v>
      </c>
      <c r="N46" s="4" t="s">
        <v>8</v>
      </c>
      <c r="O46" s="6" t="s">
        <v>9</v>
      </c>
    </row>
    <row r="47" customFormat="false" ht="14.25" hidden="false" customHeight="false" outlineLevel="0" collapsed="false">
      <c r="A47" s="1"/>
      <c r="B47" s="2"/>
      <c r="C47" s="3"/>
      <c r="D47" s="3"/>
      <c r="E47" s="4"/>
      <c r="F47" s="7" t="s">
        <v>10</v>
      </c>
      <c r="G47" s="7" t="s">
        <v>11</v>
      </c>
      <c r="H47" s="7" t="s">
        <v>12</v>
      </c>
      <c r="I47" s="7" t="s">
        <v>13</v>
      </c>
      <c r="J47" s="7" t="s">
        <v>14</v>
      </c>
      <c r="K47" s="3"/>
      <c r="L47" s="3"/>
      <c r="M47" s="4"/>
      <c r="N47" s="4"/>
      <c r="O47" s="6"/>
    </row>
    <row r="48" customFormat="false" ht="15" hidden="false" customHeight="false" outlineLevel="0" collapsed="false">
      <c r="A48" s="1"/>
      <c r="B48" s="8" t="n">
        <v>1</v>
      </c>
      <c r="C48" s="9" t="s">
        <v>31</v>
      </c>
      <c r="D48" s="9"/>
      <c r="E48" s="10" t="n">
        <v>5.04</v>
      </c>
      <c r="F48" s="11"/>
      <c r="G48" s="9"/>
      <c r="H48" s="12"/>
      <c r="I48" s="9"/>
      <c r="J48" s="13" t="n">
        <f aca="false">I48*H48</f>
        <v>0</v>
      </c>
      <c r="K48" s="14" t="n">
        <f aca="false">E48-(H48+H49)/5</f>
        <v>5.04</v>
      </c>
      <c r="L48" s="14" t="n">
        <f aca="false">K48*80.5%</f>
        <v>4.0572</v>
      </c>
      <c r="M48" s="13" t="n">
        <f aca="false">L48*15518</f>
        <v>62959.6296</v>
      </c>
      <c r="N48" s="13" t="n">
        <f aca="false">K48*400</f>
        <v>2016</v>
      </c>
      <c r="O48" s="15" t="n">
        <f aca="false">N48+J48+M48</f>
        <v>64975.6296</v>
      </c>
    </row>
    <row r="49" customFormat="false" ht="15" hidden="false" customHeight="false" outlineLevel="0" collapsed="false">
      <c r="A49" s="1"/>
      <c r="B49" s="16" t="s">
        <v>17</v>
      </c>
      <c r="C49" s="17" t="s">
        <v>32</v>
      </c>
      <c r="D49" s="17"/>
      <c r="E49" s="18"/>
      <c r="F49" s="19"/>
      <c r="G49" s="17"/>
      <c r="H49" s="20"/>
      <c r="I49" s="17"/>
      <c r="J49" s="21"/>
      <c r="K49" s="22"/>
      <c r="L49" s="22"/>
      <c r="M49" s="21"/>
      <c r="N49" s="21"/>
      <c r="O49" s="23"/>
    </row>
    <row r="50" customFormat="false" ht="15" hidden="false" customHeight="false" outlineLevel="0" collapsed="false">
      <c r="A50" s="1"/>
      <c r="B50" s="16"/>
      <c r="C50" s="17"/>
      <c r="D50" s="17"/>
      <c r="E50" s="18"/>
      <c r="F50" s="19"/>
      <c r="G50" s="17"/>
      <c r="H50" s="20"/>
      <c r="I50" s="17"/>
      <c r="J50" s="21"/>
      <c r="K50" s="22"/>
      <c r="L50" s="22"/>
      <c r="M50" s="21"/>
      <c r="N50" s="21"/>
      <c r="O50" s="23"/>
    </row>
    <row r="51" customFormat="false" ht="15" hidden="false" customHeight="false" outlineLevel="0" collapsed="false">
      <c r="A51" s="1"/>
      <c r="B51" s="16"/>
      <c r="C51" s="17"/>
      <c r="D51" s="17"/>
      <c r="E51" s="18"/>
      <c r="F51" s="19"/>
      <c r="G51" s="17"/>
      <c r="H51" s="20"/>
      <c r="I51" s="17"/>
      <c r="J51" s="21"/>
      <c r="K51" s="22"/>
      <c r="L51" s="22"/>
      <c r="M51" s="21"/>
      <c r="N51" s="21"/>
      <c r="O51" s="23"/>
    </row>
    <row r="52" customFormat="false" ht="15" hidden="false" customHeight="false" outlineLevel="0" collapsed="false">
      <c r="A52" s="1"/>
      <c r="B52" s="16" t="n">
        <v>2</v>
      </c>
      <c r="C52" s="17" t="s">
        <v>33</v>
      </c>
      <c r="D52" s="17"/>
      <c r="E52" s="24" t="n">
        <v>4.87</v>
      </c>
      <c r="F52" s="19"/>
      <c r="G52" s="17"/>
      <c r="H52" s="20"/>
      <c r="I52" s="17"/>
      <c r="J52" s="21" t="n">
        <f aca="false">I52*H52</f>
        <v>0</v>
      </c>
      <c r="K52" s="22" t="n">
        <f aca="false">E52-(H52+H53)/5</f>
        <v>4.87</v>
      </c>
      <c r="L52" s="22" t="n">
        <f aca="false">K52*80.5%</f>
        <v>3.92035</v>
      </c>
      <c r="M52" s="21" t="n">
        <f aca="false">L52*15518</f>
        <v>60835.9913</v>
      </c>
      <c r="N52" s="21" t="n">
        <f aca="false">K52*400</f>
        <v>1948</v>
      </c>
      <c r="O52" s="23" t="n">
        <f aca="false">N52+J52+M52</f>
        <v>62783.9913</v>
      </c>
    </row>
    <row r="53" customFormat="false" ht="15" hidden="false" customHeight="false" outlineLevel="0" collapsed="false">
      <c r="A53" s="1"/>
      <c r="B53" s="16" t="s">
        <v>17</v>
      </c>
      <c r="C53" s="17"/>
      <c r="D53" s="17"/>
      <c r="E53" s="18"/>
      <c r="F53" s="19"/>
      <c r="G53" s="17"/>
      <c r="H53" s="20"/>
      <c r="I53" s="17"/>
      <c r="J53" s="21"/>
      <c r="K53" s="22"/>
      <c r="L53" s="22"/>
      <c r="M53" s="21"/>
      <c r="N53" s="21"/>
      <c r="O53" s="23"/>
    </row>
    <row r="54" customFormat="false" ht="15" hidden="false" customHeight="false" outlineLevel="0" collapsed="false">
      <c r="A54" s="1"/>
      <c r="B54" s="16"/>
      <c r="C54" s="17"/>
      <c r="D54" s="17"/>
      <c r="E54" s="18"/>
      <c r="F54" s="19"/>
      <c r="G54" s="17"/>
      <c r="H54" s="20"/>
      <c r="I54" s="17"/>
      <c r="J54" s="21"/>
      <c r="K54" s="22"/>
      <c r="L54" s="22"/>
      <c r="M54" s="21"/>
      <c r="N54" s="21"/>
      <c r="O54" s="23"/>
    </row>
    <row r="55" customFormat="false" ht="15" hidden="false" customHeight="false" outlineLevel="0" collapsed="false">
      <c r="A55" s="1"/>
      <c r="B55" s="16"/>
      <c r="C55" s="17"/>
      <c r="D55" s="17"/>
      <c r="E55" s="18"/>
      <c r="F55" s="19"/>
      <c r="G55" s="17"/>
      <c r="H55" s="20"/>
      <c r="I55" s="17"/>
      <c r="J55" s="21"/>
      <c r="K55" s="22"/>
      <c r="L55" s="22"/>
      <c r="M55" s="21"/>
      <c r="N55" s="21"/>
      <c r="O55" s="23"/>
    </row>
    <row r="56" customFormat="false" ht="15" hidden="false" customHeight="false" outlineLevel="0" collapsed="false">
      <c r="A56" s="1"/>
      <c r="B56" s="16" t="n">
        <v>3</v>
      </c>
      <c r="C56" s="17"/>
      <c r="D56" s="17"/>
      <c r="E56" s="24" t="n">
        <v>22.38</v>
      </c>
      <c r="F56" s="19" t="s">
        <v>16</v>
      </c>
      <c r="G56" s="17" t="n">
        <v>64</v>
      </c>
      <c r="H56" s="20" t="n">
        <v>0.32</v>
      </c>
      <c r="I56" s="17" t="n">
        <v>40000</v>
      </c>
      <c r="J56" s="21" t="n">
        <f aca="false">I56*H56</f>
        <v>12800</v>
      </c>
      <c r="K56" s="22" t="n">
        <f aca="false">E56-(H56+H57+H58+H59+H60)/5</f>
        <v>18.42</v>
      </c>
      <c r="L56" s="22" t="n">
        <f aca="false">K56*80.5%</f>
        <v>14.8281</v>
      </c>
      <c r="M56" s="21" t="n">
        <f aca="false">L56*15518</f>
        <v>230102.4558</v>
      </c>
      <c r="N56" s="21" t="n">
        <f aca="false">K56*400</f>
        <v>7368</v>
      </c>
      <c r="O56" s="23" t="n">
        <f aca="false">N56+M56+J56+J57+J58+J59+J60</f>
        <v>320937.4558</v>
      </c>
    </row>
    <row r="57" customFormat="false" ht="15" hidden="false" customHeight="false" outlineLevel="0" collapsed="false">
      <c r="A57" s="1"/>
      <c r="B57" s="16" t="s">
        <v>34</v>
      </c>
      <c r="C57" s="17"/>
      <c r="D57" s="17"/>
      <c r="E57" s="18"/>
      <c r="F57" s="19" t="s">
        <v>16</v>
      </c>
      <c r="G57" s="17" t="n">
        <v>96</v>
      </c>
      <c r="H57" s="20" t="n">
        <v>1.7</v>
      </c>
      <c r="I57" s="17" t="n">
        <v>40000</v>
      </c>
      <c r="J57" s="21" t="n">
        <f aca="false">I57*H57</f>
        <v>68000</v>
      </c>
      <c r="K57" s="22"/>
      <c r="L57" s="22"/>
      <c r="M57" s="21"/>
      <c r="N57" s="21"/>
      <c r="O57" s="23"/>
    </row>
    <row r="58" customFormat="false" ht="15" hidden="false" customHeight="false" outlineLevel="0" collapsed="false">
      <c r="A58" s="1"/>
      <c r="B58" s="16"/>
      <c r="C58" s="17"/>
      <c r="D58" s="17"/>
      <c r="E58" s="18"/>
      <c r="F58" s="19" t="s">
        <v>18</v>
      </c>
      <c r="G58" s="17" t="n">
        <v>2</v>
      </c>
      <c r="H58" s="45" t="n">
        <v>4.55</v>
      </c>
      <c r="I58" s="17" t="n">
        <v>150</v>
      </c>
      <c r="J58" s="21" t="n">
        <f aca="false">I58*H58</f>
        <v>682.5</v>
      </c>
      <c r="K58" s="22"/>
      <c r="L58" s="22"/>
      <c r="M58" s="21"/>
      <c r="N58" s="21"/>
      <c r="O58" s="23"/>
    </row>
    <row r="59" customFormat="false" ht="15" hidden="false" customHeight="false" outlineLevel="0" collapsed="false">
      <c r="A59" s="1"/>
      <c r="B59" s="16"/>
      <c r="C59" s="17"/>
      <c r="D59" s="17"/>
      <c r="E59" s="18"/>
      <c r="F59" s="19" t="s">
        <v>19</v>
      </c>
      <c r="G59" s="17" t="n">
        <v>2</v>
      </c>
      <c r="H59" s="45" t="n">
        <v>6.61</v>
      </c>
      <c r="I59" s="17" t="n">
        <v>150</v>
      </c>
      <c r="J59" s="21" t="n">
        <f aca="false">I59*H59</f>
        <v>991.5</v>
      </c>
      <c r="K59" s="22"/>
      <c r="L59" s="22"/>
      <c r="M59" s="21"/>
      <c r="N59" s="21"/>
      <c r="O59" s="23"/>
    </row>
    <row r="60" customFormat="false" ht="15" hidden="false" customHeight="false" outlineLevel="0" collapsed="false">
      <c r="A60" s="1"/>
      <c r="B60" s="16"/>
      <c r="C60" s="17"/>
      <c r="D60" s="17"/>
      <c r="E60" s="18"/>
      <c r="F60" s="19" t="s">
        <v>35</v>
      </c>
      <c r="G60" s="17" t="n">
        <v>2</v>
      </c>
      <c r="H60" s="45" t="n">
        <v>6.62</v>
      </c>
      <c r="I60" s="17" t="n">
        <v>150</v>
      </c>
      <c r="J60" s="21" t="n">
        <f aca="false">I60*H60</f>
        <v>993</v>
      </c>
      <c r="K60" s="22"/>
      <c r="L60" s="22"/>
      <c r="M60" s="21"/>
      <c r="N60" s="21"/>
      <c r="O60" s="23"/>
    </row>
    <row r="61" customFormat="false" ht="15" hidden="false" customHeight="false" outlineLevel="0" collapsed="false">
      <c r="A61" s="1"/>
      <c r="B61" s="25"/>
      <c r="C61" s="26"/>
      <c r="D61" s="26"/>
      <c r="E61" s="27"/>
      <c r="F61" s="28"/>
      <c r="G61" s="28"/>
      <c r="H61" s="29"/>
      <c r="I61" s="26"/>
      <c r="J61" s="30"/>
      <c r="K61" s="27"/>
      <c r="L61" s="27"/>
      <c r="M61" s="27"/>
      <c r="N61" s="31"/>
      <c r="O61" s="32"/>
    </row>
    <row r="62" customFormat="false" ht="15" hidden="false" customHeight="false" outlineLevel="0" collapsed="false">
      <c r="A62" s="1"/>
      <c r="B62" s="33"/>
      <c r="C62" s="34"/>
      <c r="D62" s="34"/>
      <c r="E62" s="35" t="n">
        <f aca="false">SUM(E48:E61)</f>
        <v>32.29</v>
      </c>
      <c r="F62" s="34"/>
      <c r="G62" s="34" t="n">
        <f aca="false">SUM(G48:G61)</f>
        <v>166</v>
      </c>
      <c r="H62" s="35" t="n">
        <f aca="false">SUM(H48:H61)</f>
        <v>19.8</v>
      </c>
      <c r="I62" s="34"/>
      <c r="J62" s="36" t="n">
        <f aca="false">SUM(J48:J61)</f>
        <v>83467</v>
      </c>
      <c r="K62" s="35" t="n">
        <f aca="false">SUM(K48:K61)</f>
        <v>28.33</v>
      </c>
      <c r="L62" s="35" t="n">
        <f aca="false">SUM(L48:L61)</f>
        <v>22.80565</v>
      </c>
      <c r="M62" s="36" t="n">
        <f aca="false">SUM(M48:M61)</f>
        <v>353898.0767</v>
      </c>
      <c r="N62" s="37" t="n">
        <f aca="false">SUM(N48:N61)</f>
        <v>11332</v>
      </c>
      <c r="O62" s="38" t="n">
        <f aca="false">SUM(O48:O61)</f>
        <v>448697.0767</v>
      </c>
      <c r="P62" s="0" t="s">
        <v>23</v>
      </c>
      <c r="Q62" s="0" t="s">
        <v>26</v>
      </c>
    </row>
    <row r="64" customFormat="false" ht="14.25" hidden="false" customHeight="true" outlineLevel="0" collapsed="false">
      <c r="A64" s="1" t="n">
        <v>6</v>
      </c>
      <c r="B64" s="2" t="s">
        <v>0</v>
      </c>
      <c r="C64" s="3" t="s">
        <v>1</v>
      </c>
      <c r="D64" s="3" t="s">
        <v>2</v>
      </c>
      <c r="E64" s="4" t="s">
        <v>3</v>
      </c>
      <c r="F64" s="5" t="s">
        <v>4</v>
      </c>
      <c r="G64" s="5"/>
      <c r="H64" s="5"/>
      <c r="I64" s="5"/>
      <c r="J64" s="5"/>
      <c r="K64" s="3" t="s">
        <v>5</v>
      </c>
      <c r="L64" s="3" t="s">
        <v>6</v>
      </c>
      <c r="M64" s="4" t="s">
        <v>7</v>
      </c>
      <c r="N64" s="4" t="s">
        <v>8</v>
      </c>
      <c r="O64" s="6" t="s">
        <v>9</v>
      </c>
    </row>
    <row r="65" customFormat="false" ht="14.25" hidden="false" customHeight="false" outlineLevel="0" collapsed="false">
      <c r="A65" s="1"/>
      <c r="B65" s="2"/>
      <c r="C65" s="3"/>
      <c r="D65" s="3"/>
      <c r="E65" s="4"/>
      <c r="F65" s="7" t="s">
        <v>10</v>
      </c>
      <c r="G65" s="7" t="s">
        <v>11</v>
      </c>
      <c r="H65" s="7" t="s">
        <v>12</v>
      </c>
      <c r="I65" s="7" t="s">
        <v>13</v>
      </c>
      <c r="J65" s="7" t="s">
        <v>14</v>
      </c>
      <c r="K65" s="3"/>
      <c r="L65" s="3"/>
      <c r="M65" s="4"/>
      <c r="N65" s="4"/>
      <c r="O65" s="6"/>
    </row>
    <row r="66" customFormat="false" ht="15" hidden="false" customHeight="false" outlineLevel="0" collapsed="false">
      <c r="A66" s="1"/>
      <c r="B66" s="8" t="n">
        <v>1</v>
      </c>
      <c r="C66" s="9" t="s">
        <v>36</v>
      </c>
      <c r="D66" s="9"/>
      <c r="E66" s="10" t="n">
        <v>41.49</v>
      </c>
      <c r="F66" s="11" t="s">
        <v>16</v>
      </c>
      <c r="G66" s="9" t="n">
        <v>782</v>
      </c>
      <c r="H66" s="12" t="n">
        <v>1.88</v>
      </c>
      <c r="I66" s="9" t="n">
        <v>40000</v>
      </c>
      <c r="J66" s="13" t="n">
        <f aca="false">I66*H66</f>
        <v>75200</v>
      </c>
      <c r="K66" s="14" t="n">
        <f aca="false">E66-(H66+H67+H68+H69+H70)/5</f>
        <v>34.136</v>
      </c>
      <c r="L66" s="14" t="n">
        <f aca="false">K66*80.5%</f>
        <v>27.47948</v>
      </c>
      <c r="M66" s="13" t="n">
        <f aca="false">L66*14331</f>
        <v>393808.42788</v>
      </c>
      <c r="N66" s="13" t="n">
        <f aca="false">K66*400</f>
        <v>13654.4</v>
      </c>
      <c r="O66" s="15" t="n">
        <f aca="false">N66+M66+J66+J67+J68+J69+J70</f>
        <v>549626.82788</v>
      </c>
    </row>
    <row r="67" customFormat="false" ht="15" hidden="false" customHeight="false" outlineLevel="0" collapsed="false">
      <c r="A67" s="1"/>
      <c r="B67" s="16" t="s">
        <v>34</v>
      </c>
      <c r="C67" s="17"/>
      <c r="D67" s="17"/>
      <c r="E67" s="18"/>
      <c r="F67" s="19" t="s">
        <v>16</v>
      </c>
      <c r="G67" s="17" t="n">
        <v>146</v>
      </c>
      <c r="H67" s="20" t="n">
        <v>1.53</v>
      </c>
      <c r="I67" s="17" t="n">
        <v>40000</v>
      </c>
      <c r="J67" s="21" t="n">
        <f aca="false">I67*H67</f>
        <v>61200</v>
      </c>
      <c r="K67" s="22"/>
      <c r="L67" s="22"/>
      <c r="M67" s="21"/>
      <c r="N67" s="21"/>
      <c r="O67" s="23"/>
    </row>
    <row r="68" customFormat="false" ht="15" hidden="false" customHeight="false" outlineLevel="0" collapsed="false">
      <c r="A68" s="1"/>
      <c r="B68" s="16"/>
      <c r="C68" s="17"/>
      <c r="D68" s="17"/>
      <c r="E68" s="18"/>
      <c r="F68" s="19" t="s">
        <v>18</v>
      </c>
      <c r="G68" s="17" t="n">
        <v>10</v>
      </c>
      <c r="H68" s="45" t="n">
        <f aca="false">12.52+6.48</f>
        <v>19</v>
      </c>
      <c r="I68" s="17" t="n">
        <v>190</v>
      </c>
      <c r="J68" s="21" t="n">
        <f aca="false">I68*H68</f>
        <v>3610</v>
      </c>
      <c r="K68" s="22"/>
      <c r="L68" s="22"/>
      <c r="M68" s="21"/>
      <c r="N68" s="21"/>
      <c r="O68" s="23"/>
    </row>
    <row r="69" customFormat="false" ht="15" hidden="false" customHeight="false" outlineLevel="0" collapsed="false">
      <c r="A69" s="1"/>
      <c r="B69" s="16"/>
      <c r="C69" s="17"/>
      <c r="D69" s="17"/>
      <c r="E69" s="18"/>
      <c r="F69" s="19" t="s">
        <v>19</v>
      </c>
      <c r="G69" s="17" t="n">
        <v>4</v>
      </c>
      <c r="H69" s="45" t="n">
        <v>14.36</v>
      </c>
      <c r="I69" s="17" t="n">
        <v>150</v>
      </c>
      <c r="J69" s="21" t="n">
        <f aca="false">I69*H69</f>
        <v>2154</v>
      </c>
      <c r="K69" s="22"/>
      <c r="L69" s="22"/>
      <c r="M69" s="21"/>
      <c r="N69" s="21"/>
      <c r="O69" s="23"/>
    </row>
    <row r="70" customFormat="false" ht="15" hidden="false" customHeight="false" outlineLevel="0" collapsed="false">
      <c r="A70" s="1"/>
      <c r="B70" s="16"/>
      <c r="C70" s="17"/>
      <c r="D70" s="17"/>
      <c r="E70" s="18"/>
      <c r="F70" s="19"/>
      <c r="G70" s="17"/>
      <c r="H70" s="20"/>
      <c r="I70" s="17"/>
      <c r="J70" s="21"/>
      <c r="K70" s="22"/>
      <c r="L70" s="22"/>
      <c r="M70" s="21"/>
      <c r="N70" s="21"/>
      <c r="O70" s="23"/>
    </row>
    <row r="71" customFormat="false" ht="15" hidden="false" customHeight="false" outlineLevel="0" collapsed="false">
      <c r="A71" s="1"/>
      <c r="B71" s="25"/>
      <c r="C71" s="26"/>
      <c r="D71" s="26"/>
      <c r="E71" s="27"/>
      <c r="F71" s="28"/>
      <c r="G71" s="28"/>
      <c r="H71" s="29"/>
      <c r="I71" s="26"/>
      <c r="J71" s="30"/>
      <c r="K71" s="27"/>
      <c r="L71" s="27"/>
      <c r="M71" s="27"/>
      <c r="N71" s="31"/>
      <c r="O71" s="32"/>
    </row>
    <row r="72" customFormat="false" ht="15" hidden="false" customHeight="false" outlineLevel="0" collapsed="false">
      <c r="A72" s="1"/>
      <c r="B72" s="33"/>
      <c r="C72" s="34"/>
      <c r="D72" s="34"/>
      <c r="E72" s="35" t="n">
        <f aca="false">SUM(E66:E71)</f>
        <v>41.49</v>
      </c>
      <c r="F72" s="34"/>
      <c r="G72" s="34" t="n">
        <f aca="false">SUM(G66:G71)</f>
        <v>942</v>
      </c>
      <c r="H72" s="35" t="n">
        <f aca="false">SUM(H66:H71)</f>
        <v>36.77</v>
      </c>
      <c r="I72" s="34"/>
      <c r="J72" s="36" t="n">
        <f aca="false">SUM(J66:J71)</f>
        <v>142164</v>
      </c>
      <c r="K72" s="35" t="n">
        <f aca="false">SUM(K66:K71)</f>
        <v>34.136</v>
      </c>
      <c r="L72" s="35" t="n">
        <f aca="false">SUM(L66:L71)</f>
        <v>27.47948</v>
      </c>
      <c r="M72" s="36" t="n">
        <f aca="false">SUM(M66:M71)</f>
        <v>393808.42788</v>
      </c>
      <c r="N72" s="37" t="n">
        <f aca="false">SUM(N66:N71)</f>
        <v>13654.4</v>
      </c>
      <c r="O72" s="38" t="n">
        <f aca="false">SUM(O66:O71)</f>
        <v>549626.82788</v>
      </c>
    </row>
    <row r="74" customFormat="false" ht="14.25" hidden="false" customHeight="true" outlineLevel="0" collapsed="false">
      <c r="A74" s="1" t="n">
        <v>7</v>
      </c>
      <c r="B74" s="2" t="s">
        <v>0</v>
      </c>
      <c r="C74" s="3" t="s">
        <v>1</v>
      </c>
      <c r="D74" s="3" t="s">
        <v>2</v>
      </c>
      <c r="E74" s="4" t="s">
        <v>3</v>
      </c>
      <c r="F74" s="5" t="s">
        <v>4</v>
      </c>
      <c r="G74" s="5"/>
      <c r="H74" s="5"/>
      <c r="I74" s="5"/>
      <c r="J74" s="5"/>
      <c r="K74" s="3" t="s">
        <v>5</v>
      </c>
      <c r="L74" s="3" t="s">
        <v>6</v>
      </c>
      <c r="M74" s="4" t="s">
        <v>7</v>
      </c>
      <c r="N74" s="4" t="s">
        <v>8</v>
      </c>
      <c r="O74" s="6" t="s">
        <v>9</v>
      </c>
    </row>
    <row r="75" customFormat="false" ht="14.25" hidden="false" customHeight="false" outlineLevel="0" collapsed="false">
      <c r="A75" s="1"/>
      <c r="B75" s="2"/>
      <c r="C75" s="3"/>
      <c r="D75" s="3"/>
      <c r="E75" s="4"/>
      <c r="F75" s="7" t="s">
        <v>10</v>
      </c>
      <c r="G75" s="7" t="s">
        <v>11</v>
      </c>
      <c r="H75" s="7" t="s">
        <v>12</v>
      </c>
      <c r="I75" s="7" t="s">
        <v>13</v>
      </c>
      <c r="J75" s="7" t="s">
        <v>14</v>
      </c>
      <c r="K75" s="3"/>
      <c r="L75" s="3"/>
      <c r="M75" s="4"/>
      <c r="N75" s="4"/>
      <c r="O75" s="6"/>
    </row>
    <row r="76" customFormat="false" ht="15" hidden="false" customHeight="false" outlineLevel="0" collapsed="false">
      <c r="A76" s="1"/>
      <c r="B76" s="8" t="n">
        <v>1</v>
      </c>
      <c r="C76" s="9" t="s">
        <v>37</v>
      </c>
      <c r="D76" s="9"/>
      <c r="E76" s="10" t="n">
        <v>18.87</v>
      </c>
      <c r="F76" s="11" t="s">
        <v>38</v>
      </c>
      <c r="G76" s="9" t="n">
        <v>44</v>
      </c>
      <c r="H76" s="12" t="n">
        <v>0.25</v>
      </c>
      <c r="I76" s="9" t="n">
        <v>36000</v>
      </c>
      <c r="J76" s="13" t="n">
        <f aca="false">I76*H76</f>
        <v>9000</v>
      </c>
      <c r="K76" s="14" t="n">
        <f aca="false">E76-(H76+H77+H78+H79+H80)/5</f>
        <v>15.142</v>
      </c>
      <c r="L76" s="14" t="n">
        <f aca="false">K76*80.5%</f>
        <v>12.18931</v>
      </c>
      <c r="M76" s="13" t="n">
        <f aca="false">L76*14331</f>
        <v>174685.00161</v>
      </c>
      <c r="N76" s="13" t="n">
        <f aca="false">K76*400</f>
        <v>6056.8</v>
      </c>
      <c r="O76" s="15" t="n">
        <f aca="false">N76+M76+J76+J77+J78+J79+J80</f>
        <v>259679.30161</v>
      </c>
    </row>
    <row r="77" customFormat="false" ht="15" hidden="false" customHeight="false" outlineLevel="0" collapsed="false">
      <c r="A77" s="1"/>
      <c r="B77" s="16" t="s">
        <v>34</v>
      </c>
      <c r="C77" s="17"/>
      <c r="D77" s="17"/>
      <c r="E77" s="18"/>
      <c r="F77" s="19" t="s">
        <v>38</v>
      </c>
      <c r="G77" s="17" t="n">
        <v>110</v>
      </c>
      <c r="H77" s="20" t="n">
        <v>1.53</v>
      </c>
      <c r="I77" s="17" t="n">
        <v>36000</v>
      </c>
      <c r="J77" s="21" t="n">
        <f aca="false">I77*H77</f>
        <v>55080</v>
      </c>
      <c r="K77" s="22"/>
      <c r="L77" s="22"/>
      <c r="M77" s="21"/>
      <c r="N77" s="21"/>
      <c r="O77" s="23"/>
    </row>
    <row r="78" customFormat="false" ht="15" hidden="false" customHeight="false" outlineLevel="0" collapsed="false">
      <c r="A78" s="1"/>
      <c r="B78" s="16"/>
      <c r="C78" s="17"/>
      <c r="D78" s="17"/>
      <c r="E78" s="18"/>
      <c r="F78" s="19" t="s">
        <v>18</v>
      </c>
      <c r="G78" s="17" t="n">
        <v>14</v>
      </c>
      <c r="H78" s="20" t="n">
        <v>6.01</v>
      </c>
      <c r="I78" s="17" t="n">
        <v>1750</v>
      </c>
      <c r="J78" s="21" t="n">
        <f aca="false">I78*H78</f>
        <v>10517.5</v>
      </c>
      <c r="K78" s="22"/>
      <c r="L78" s="22"/>
      <c r="M78" s="21"/>
      <c r="N78" s="21"/>
      <c r="O78" s="23"/>
    </row>
    <row r="79" customFormat="false" ht="15" hidden="false" customHeight="false" outlineLevel="0" collapsed="false">
      <c r="A79" s="1"/>
      <c r="B79" s="16"/>
      <c r="C79" s="17"/>
      <c r="D79" s="17"/>
      <c r="E79" s="18"/>
      <c r="F79" s="19" t="s">
        <v>20</v>
      </c>
      <c r="G79" s="17" t="n">
        <v>18</v>
      </c>
      <c r="H79" s="20" t="n">
        <v>10.85</v>
      </c>
      <c r="I79" s="17" t="n">
        <v>400</v>
      </c>
      <c r="J79" s="21" t="n">
        <f aca="false">I79*H79</f>
        <v>4340</v>
      </c>
      <c r="K79" s="22"/>
      <c r="L79" s="22"/>
      <c r="M79" s="21"/>
      <c r="N79" s="21"/>
      <c r="O79" s="23"/>
    </row>
    <row r="80" customFormat="false" ht="15" hidden="false" customHeight="false" outlineLevel="0" collapsed="false">
      <c r="A80" s="1"/>
      <c r="B80" s="16"/>
      <c r="C80" s="17"/>
      <c r="D80" s="17"/>
      <c r="E80" s="18"/>
      <c r="F80" s="19"/>
      <c r="G80" s="17"/>
      <c r="H80" s="20"/>
      <c r="I80" s="17"/>
      <c r="J80" s="21"/>
      <c r="K80" s="22"/>
      <c r="L80" s="22"/>
      <c r="M80" s="21"/>
      <c r="N80" s="21"/>
      <c r="O80" s="23"/>
    </row>
    <row r="81" customFormat="false" ht="15" hidden="false" customHeight="false" outlineLevel="0" collapsed="false">
      <c r="A81" s="1"/>
      <c r="B81" s="25"/>
      <c r="C81" s="26"/>
      <c r="D81" s="26"/>
      <c r="E81" s="27"/>
      <c r="F81" s="28"/>
      <c r="G81" s="28"/>
      <c r="H81" s="29"/>
      <c r="I81" s="26"/>
      <c r="J81" s="30"/>
      <c r="K81" s="27"/>
      <c r="L81" s="27"/>
      <c r="M81" s="27"/>
      <c r="N81" s="31"/>
      <c r="O81" s="32"/>
    </row>
    <row r="82" customFormat="false" ht="15" hidden="false" customHeight="false" outlineLevel="0" collapsed="false">
      <c r="A82" s="1"/>
      <c r="B82" s="33"/>
      <c r="C82" s="34"/>
      <c r="D82" s="34"/>
      <c r="E82" s="35" t="n">
        <f aca="false">SUM(E76:E81)</f>
        <v>18.87</v>
      </c>
      <c r="F82" s="34"/>
      <c r="G82" s="34" t="n">
        <f aca="false">SUM(G76:G81)</f>
        <v>186</v>
      </c>
      <c r="H82" s="35" t="n">
        <f aca="false">SUM(H76:H81)</f>
        <v>18.64</v>
      </c>
      <c r="I82" s="34"/>
      <c r="J82" s="36" t="n">
        <f aca="false">SUM(J76:J81)</f>
        <v>78937.5</v>
      </c>
      <c r="K82" s="35" t="n">
        <f aca="false">SUM(K76:K81)</f>
        <v>15.142</v>
      </c>
      <c r="L82" s="35" t="n">
        <f aca="false">SUM(L76:L81)</f>
        <v>12.18931</v>
      </c>
      <c r="M82" s="36" t="n">
        <f aca="false">SUM(M76:M81)</f>
        <v>174685.00161</v>
      </c>
      <c r="N82" s="37" t="n">
        <f aca="false">SUM(N76:N81)</f>
        <v>6056.8</v>
      </c>
      <c r="O82" s="38" t="n">
        <f aca="false">SUM(O76:O81)</f>
        <v>259679.30161</v>
      </c>
    </row>
  </sheetData>
  <mergeCells count="70">
    <mergeCell ref="A2:A15"/>
    <mergeCell ref="B2:B3"/>
    <mergeCell ref="C2:C3"/>
    <mergeCell ref="D2:D3"/>
    <mergeCell ref="E2:E3"/>
    <mergeCell ref="K2:K3"/>
    <mergeCell ref="L2:L3"/>
    <mergeCell ref="M2:M3"/>
    <mergeCell ref="N2:N3"/>
    <mergeCell ref="O2:O3"/>
    <mergeCell ref="A17:A30"/>
    <mergeCell ref="B17:B18"/>
    <mergeCell ref="C17:C18"/>
    <mergeCell ref="D17:D18"/>
    <mergeCell ref="E17:E18"/>
    <mergeCell ref="K17:K18"/>
    <mergeCell ref="L17:L18"/>
    <mergeCell ref="M17:M18"/>
    <mergeCell ref="N17:N18"/>
    <mergeCell ref="O17:O18"/>
    <mergeCell ref="A32:A37"/>
    <mergeCell ref="B32:B33"/>
    <mergeCell ref="C32:C33"/>
    <mergeCell ref="D32:D33"/>
    <mergeCell ref="E32:E33"/>
    <mergeCell ref="K32:K33"/>
    <mergeCell ref="L32:L33"/>
    <mergeCell ref="M32:M33"/>
    <mergeCell ref="N32:N33"/>
    <mergeCell ref="O32:O33"/>
    <mergeCell ref="A39:A44"/>
    <mergeCell ref="B39:B40"/>
    <mergeCell ref="C39:C40"/>
    <mergeCell ref="D39:D40"/>
    <mergeCell ref="E39:E40"/>
    <mergeCell ref="K39:K40"/>
    <mergeCell ref="L39:L40"/>
    <mergeCell ref="M39:M40"/>
    <mergeCell ref="N39:N40"/>
    <mergeCell ref="O39:O40"/>
    <mergeCell ref="A46:A62"/>
    <mergeCell ref="B46:B47"/>
    <mergeCell ref="C46:C47"/>
    <mergeCell ref="D46:D47"/>
    <mergeCell ref="E46:E47"/>
    <mergeCell ref="K46:K47"/>
    <mergeCell ref="L46:L47"/>
    <mergeCell ref="M46:M47"/>
    <mergeCell ref="N46:N47"/>
    <mergeCell ref="O46:O47"/>
    <mergeCell ref="A64:A72"/>
    <mergeCell ref="B64:B65"/>
    <mergeCell ref="C64:C65"/>
    <mergeCell ref="D64:D65"/>
    <mergeCell ref="E64:E65"/>
    <mergeCell ref="K64:K65"/>
    <mergeCell ref="L64:L65"/>
    <mergeCell ref="M64:M65"/>
    <mergeCell ref="N64:N65"/>
    <mergeCell ref="O64:O65"/>
    <mergeCell ref="A74:A82"/>
    <mergeCell ref="B74:B75"/>
    <mergeCell ref="C74:C75"/>
    <mergeCell ref="D74:D75"/>
    <mergeCell ref="E74:E75"/>
    <mergeCell ref="K74:K75"/>
    <mergeCell ref="L74:L75"/>
    <mergeCell ref="M74:M75"/>
    <mergeCell ref="N74:N75"/>
    <mergeCell ref="O74:O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S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54" activeCellId="0" sqref="Q54"/>
    </sheetView>
  </sheetViews>
  <sheetFormatPr defaultColWidth="8.5" defaultRowHeight="14.25" customHeight="false" zeroHeight="false" outlineLevelRow="0" outlineLevelCol="0"/>
  <cols>
    <col collapsed="false" customWidth="true" hidden="false" outlineLevel="0" max="4" min="4" style="0" width="15.18"/>
    <col collapsed="false" customWidth="true" hidden="false" outlineLevel="0" max="6" min="6" style="0" width="11.36"/>
  </cols>
  <sheetData>
    <row r="2" customFormat="false" ht="14.25" hidden="false" customHeight="true" outlineLevel="0" collapsed="false">
      <c r="A2" s="46" t="n">
        <v>1</v>
      </c>
      <c r="B2" s="2" t="s">
        <v>0</v>
      </c>
      <c r="C2" s="3" t="s">
        <v>1</v>
      </c>
      <c r="D2" s="3" t="s">
        <v>2</v>
      </c>
      <c r="E2" s="4" t="s">
        <v>3</v>
      </c>
      <c r="F2" s="9" t="s">
        <v>4</v>
      </c>
      <c r="G2" s="9"/>
      <c r="H2" s="9"/>
      <c r="I2" s="9"/>
      <c r="J2" s="9"/>
      <c r="K2" s="3" t="s">
        <v>5</v>
      </c>
      <c r="L2" s="3" t="s">
        <v>6</v>
      </c>
      <c r="M2" s="4" t="s">
        <v>7</v>
      </c>
      <c r="N2" s="4" t="s">
        <v>8</v>
      </c>
      <c r="O2" s="6" t="s">
        <v>9</v>
      </c>
    </row>
    <row r="3" customFormat="false" ht="15" hidden="false" customHeight="true" outlineLevel="0" collapsed="false">
      <c r="A3" s="46"/>
      <c r="B3" s="2"/>
      <c r="C3" s="3"/>
      <c r="D3" s="3"/>
      <c r="E3" s="4"/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3"/>
      <c r="L3" s="3"/>
      <c r="M3" s="4"/>
      <c r="N3" s="4"/>
      <c r="O3" s="6"/>
    </row>
    <row r="4" customFormat="false" ht="14.25" hidden="false" customHeight="true" outlineLevel="0" collapsed="false">
      <c r="A4" s="46"/>
      <c r="B4" s="47" t="n">
        <v>1</v>
      </c>
      <c r="C4" s="48" t="s">
        <v>39</v>
      </c>
      <c r="D4" s="48"/>
      <c r="E4" s="49" t="n">
        <v>24.5</v>
      </c>
      <c r="F4" s="50" t="s">
        <v>40</v>
      </c>
      <c r="G4" s="48" t="n">
        <v>6</v>
      </c>
      <c r="H4" s="51" t="n">
        <v>0.91</v>
      </c>
      <c r="I4" s="48" t="n">
        <v>52000</v>
      </c>
      <c r="J4" s="52" t="n">
        <f aca="false">I4*H4</f>
        <v>47320</v>
      </c>
      <c r="K4" s="49" t="n">
        <f aca="false">E4-(H4+H5+H6+H7+H8+H9+H10)/5</f>
        <v>22.812</v>
      </c>
      <c r="L4" s="14" t="n">
        <f aca="false">K4*80%</f>
        <v>18.2496</v>
      </c>
      <c r="M4" s="53" t="n">
        <f aca="false">L4*14837</f>
        <v>270769.3152</v>
      </c>
      <c r="N4" s="53" t="n">
        <f aca="false">1.37*15750</f>
        <v>21577.5</v>
      </c>
      <c r="O4" s="15" t="n">
        <f aca="false">N4+M4+J4+J5+J6+J7+J8+J9+J10</f>
        <v>859703.0852</v>
      </c>
    </row>
    <row r="5" customFormat="false" ht="15" hidden="false" customHeight="true" outlineLevel="0" collapsed="false">
      <c r="A5" s="46"/>
      <c r="B5" s="54" t="s">
        <v>17</v>
      </c>
      <c r="C5" s="55" t="s">
        <v>41</v>
      </c>
      <c r="D5" s="55"/>
      <c r="E5" s="56"/>
      <c r="F5" s="57" t="s">
        <v>40</v>
      </c>
      <c r="G5" s="19" t="n">
        <v>14</v>
      </c>
      <c r="H5" s="58" t="n">
        <v>2.84</v>
      </c>
      <c r="I5" s="55" t="n">
        <v>61690</v>
      </c>
      <c r="J5" s="59" t="n">
        <f aca="false">I5*H5</f>
        <v>175199.6</v>
      </c>
      <c r="K5" s="56"/>
      <c r="L5" s="56"/>
      <c r="M5" s="60"/>
      <c r="N5" s="60"/>
      <c r="O5" s="23"/>
    </row>
    <row r="6" customFormat="false" ht="15" hidden="false" customHeight="true" outlineLevel="0" collapsed="false">
      <c r="A6" s="46"/>
      <c r="B6" s="54"/>
      <c r="C6" s="55"/>
      <c r="D6" s="55"/>
      <c r="E6" s="56"/>
      <c r="F6" s="57" t="s">
        <v>40</v>
      </c>
      <c r="G6" s="19" t="n">
        <v>6</v>
      </c>
      <c r="H6" s="58" t="n">
        <v>1.7</v>
      </c>
      <c r="I6" s="55" t="n">
        <v>68000</v>
      </c>
      <c r="J6" s="59" t="n">
        <f aca="false">I6*H6</f>
        <v>115600</v>
      </c>
      <c r="K6" s="56"/>
      <c r="L6" s="56"/>
      <c r="M6" s="60"/>
      <c r="N6" s="60"/>
      <c r="O6" s="23"/>
    </row>
    <row r="7" customFormat="false" ht="15" hidden="false" customHeight="true" outlineLevel="0" collapsed="false">
      <c r="A7" s="46"/>
      <c r="B7" s="54"/>
      <c r="C7" s="55"/>
      <c r="D7" s="55"/>
      <c r="E7" s="56"/>
      <c r="F7" s="57" t="s">
        <v>40</v>
      </c>
      <c r="G7" s="19" t="n">
        <v>4</v>
      </c>
      <c r="H7" s="58" t="n">
        <v>1.2</v>
      </c>
      <c r="I7" s="55" t="n">
        <v>79692</v>
      </c>
      <c r="J7" s="59" t="n">
        <f aca="false">I7*H7</f>
        <v>95630.4</v>
      </c>
      <c r="K7" s="56"/>
      <c r="L7" s="56"/>
      <c r="M7" s="60"/>
      <c r="N7" s="60"/>
      <c r="O7" s="23"/>
      <c r="S7" s="61"/>
    </row>
    <row r="8" customFormat="false" ht="15" hidden="false" customHeight="true" outlineLevel="0" collapsed="false">
      <c r="A8" s="46"/>
      <c r="B8" s="54"/>
      <c r="C8" s="55"/>
      <c r="D8" s="55"/>
      <c r="E8" s="56"/>
      <c r="F8" s="57" t="s">
        <v>40</v>
      </c>
      <c r="G8" s="19" t="n">
        <v>2</v>
      </c>
      <c r="H8" s="58" t="n">
        <v>0.64</v>
      </c>
      <c r="I8" s="55" t="n">
        <v>67988</v>
      </c>
      <c r="J8" s="59" t="n">
        <f aca="false">I8*H8</f>
        <v>43512.32</v>
      </c>
      <c r="K8" s="56"/>
      <c r="L8" s="56"/>
      <c r="M8" s="60"/>
      <c r="N8" s="60"/>
      <c r="O8" s="23"/>
    </row>
    <row r="9" customFormat="false" ht="15" hidden="false" customHeight="true" outlineLevel="0" collapsed="false">
      <c r="A9" s="46"/>
      <c r="B9" s="54"/>
      <c r="C9" s="55"/>
      <c r="D9" s="55"/>
      <c r="E9" s="62"/>
      <c r="F9" s="57" t="s">
        <v>40</v>
      </c>
      <c r="G9" s="19" t="n">
        <v>2</v>
      </c>
      <c r="H9" s="58" t="n">
        <v>0.7</v>
      </c>
      <c r="I9" s="55" t="n">
        <v>81986</v>
      </c>
      <c r="J9" s="59" t="n">
        <f aca="false">I9*H9</f>
        <v>57390.2</v>
      </c>
      <c r="K9" s="56"/>
      <c r="L9" s="56"/>
      <c r="M9" s="60"/>
      <c r="N9" s="60"/>
      <c r="O9" s="23"/>
    </row>
    <row r="10" customFormat="false" ht="15.75" hidden="false" customHeight="true" outlineLevel="0" collapsed="false">
      <c r="A10" s="46"/>
      <c r="B10" s="63"/>
      <c r="C10" s="64"/>
      <c r="D10" s="64"/>
      <c r="E10" s="65"/>
      <c r="F10" s="57" t="s">
        <v>40</v>
      </c>
      <c r="G10" s="19" t="n">
        <v>1</v>
      </c>
      <c r="H10" s="58" t="n">
        <v>0.45</v>
      </c>
      <c r="I10" s="55" t="n">
        <v>72675</v>
      </c>
      <c r="J10" s="59" t="n">
        <f aca="false">I10*H10</f>
        <v>32703.75</v>
      </c>
      <c r="K10" s="66"/>
      <c r="L10" s="66"/>
      <c r="M10" s="67"/>
      <c r="N10" s="67"/>
      <c r="O10" s="44"/>
    </row>
    <row r="11" customFormat="false" ht="15.75" hidden="false" customHeight="true" outlineLevel="0" collapsed="false">
      <c r="A11" s="46"/>
      <c r="B11" s="68"/>
      <c r="C11" s="69"/>
      <c r="D11" s="69"/>
      <c r="E11" s="70"/>
      <c r="F11" s="71"/>
      <c r="G11" s="28"/>
      <c r="H11" s="29"/>
      <c r="I11" s="69"/>
      <c r="J11" s="72"/>
      <c r="K11" s="73"/>
      <c r="L11" s="73"/>
      <c r="M11" s="74"/>
      <c r="N11" s="74"/>
      <c r="O11" s="75"/>
    </row>
    <row r="12" customFormat="false" ht="15" hidden="false" customHeight="false" outlineLevel="0" collapsed="false">
      <c r="A12" s="46"/>
      <c r="B12" s="33"/>
      <c r="C12" s="34"/>
      <c r="D12" s="34"/>
      <c r="E12" s="35" t="n">
        <f aca="false">SUM(E4:E9)</f>
        <v>24.5</v>
      </c>
      <c r="F12" s="34"/>
      <c r="G12" s="34" t="n">
        <f aca="false">SUM(G4:G11)</f>
        <v>35</v>
      </c>
      <c r="H12" s="35" t="n">
        <f aca="false">SUM(H4:H11)</f>
        <v>8.44</v>
      </c>
      <c r="I12" s="34" t="n">
        <f aca="false">SUM(I4:I11)</f>
        <v>484031</v>
      </c>
      <c r="J12" s="36" t="n">
        <f aca="false">SUM(J4:J11)</f>
        <v>567356.27</v>
      </c>
      <c r="K12" s="76" t="n">
        <f aca="false">SUM(K4:K11)</f>
        <v>22.812</v>
      </c>
      <c r="L12" s="77" t="n">
        <f aca="false">SUM(L4:L11)</f>
        <v>18.2496</v>
      </c>
      <c r="M12" s="78" t="n">
        <f aca="false">SUM(M4:M11)</f>
        <v>270769.3152</v>
      </c>
      <c r="N12" s="37" t="n">
        <f aca="false">SUM(N4:N11)</f>
        <v>21577.5</v>
      </c>
      <c r="O12" s="38" t="n">
        <f aca="false">SUM(O4:O11)</f>
        <v>859703.0852</v>
      </c>
      <c r="P12" s="0" t="s">
        <v>23</v>
      </c>
    </row>
    <row r="14" customFormat="false" ht="14.25" hidden="false" customHeight="true" outlineLevel="0" collapsed="false">
      <c r="A14" s="46" t="n">
        <v>2</v>
      </c>
      <c r="B14" s="2" t="s">
        <v>0</v>
      </c>
      <c r="C14" s="3" t="s">
        <v>1</v>
      </c>
      <c r="D14" s="3" t="s">
        <v>2</v>
      </c>
      <c r="E14" s="4" t="s">
        <v>3</v>
      </c>
      <c r="F14" s="9" t="s">
        <v>4</v>
      </c>
      <c r="G14" s="9"/>
      <c r="H14" s="9"/>
      <c r="I14" s="9"/>
      <c r="J14" s="9"/>
      <c r="K14" s="3" t="s">
        <v>5</v>
      </c>
      <c r="L14" s="3" t="s">
        <v>6</v>
      </c>
      <c r="M14" s="4" t="s">
        <v>7</v>
      </c>
      <c r="N14" s="4" t="s">
        <v>8</v>
      </c>
      <c r="O14" s="6" t="s">
        <v>9</v>
      </c>
    </row>
    <row r="15" customFormat="false" ht="14.25" hidden="false" customHeight="false" outlineLevel="0" collapsed="false">
      <c r="A15" s="46"/>
      <c r="B15" s="2"/>
      <c r="C15" s="3"/>
      <c r="D15" s="3"/>
      <c r="E15" s="4"/>
      <c r="F15" s="7" t="s">
        <v>10</v>
      </c>
      <c r="G15" s="7" t="s">
        <v>11</v>
      </c>
      <c r="H15" s="7" t="s">
        <v>12</v>
      </c>
      <c r="I15" s="7" t="s">
        <v>13</v>
      </c>
      <c r="J15" s="7" t="s">
        <v>14</v>
      </c>
      <c r="K15" s="3"/>
      <c r="L15" s="3"/>
      <c r="M15" s="4"/>
      <c r="N15" s="4"/>
      <c r="O15" s="6"/>
    </row>
    <row r="16" customFormat="false" ht="14.25" hidden="false" customHeight="false" outlineLevel="0" collapsed="false">
      <c r="A16" s="46"/>
      <c r="B16" s="47" t="n">
        <v>1</v>
      </c>
      <c r="C16" s="48" t="s">
        <v>39</v>
      </c>
      <c r="D16" s="48"/>
      <c r="E16" s="49" t="n">
        <v>43.47</v>
      </c>
      <c r="F16" s="50" t="s">
        <v>16</v>
      </c>
      <c r="G16" s="48" t="n">
        <v>94</v>
      </c>
      <c r="H16" s="51" t="n">
        <v>5.89</v>
      </c>
      <c r="I16" s="48" t="n">
        <v>40000</v>
      </c>
      <c r="J16" s="52" t="n">
        <f aca="false">I16*H16</f>
        <v>235600</v>
      </c>
      <c r="K16" s="49" t="n">
        <f aca="false">E16-(H16+H17)/5</f>
        <v>42.292</v>
      </c>
      <c r="L16" s="14" t="n">
        <f aca="false">K16*96.6%</f>
        <v>40.854072</v>
      </c>
      <c r="M16" s="53" t="n">
        <f aca="false">L16*14898</f>
        <v>608643.964656</v>
      </c>
      <c r="N16" s="53" t="n">
        <f aca="false">K16*695</f>
        <v>29392.94</v>
      </c>
      <c r="O16" s="15" t="n">
        <f aca="false">N16+M16+J16</f>
        <v>873636.904656</v>
      </c>
    </row>
    <row r="17" customFormat="false" ht="15" hidden="false" customHeight="false" outlineLevel="0" collapsed="false">
      <c r="A17" s="46"/>
      <c r="B17" s="54" t="s">
        <v>42</v>
      </c>
      <c r="C17" s="55" t="s">
        <v>43</v>
      </c>
      <c r="D17" s="55"/>
      <c r="E17" s="56"/>
      <c r="F17" s="57"/>
      <c r="G17" s="19"/>
      <c r="H17" s="58"/>
      <c r="I17" s="55"/>
      <c r="J17" s="59"/>
      <c r="K17" s="56"/>
      <c r="L17" s="56"/>
      <c r="M17" s="60"/>
      <c r="N17" s="60"/>
      <c r="O17" s="23"/>
    </row>
    <row r="18" customFormat="false" ht="15" hidden="false" customHeight="false" outlineLevel="0" collapsed="false">
      <c r="A18" s="46"/>
      <c r="B18" s="54"/>
      <c r="C18" s="55"/>
      <c r="D18" s="55"/>
      <c r="E18" s="56"/>
      <c r="F18" s="57"/>
      <c r="G18" s="19"/>
      <c r="H18" s="58"/>
      <c r="I18" s="55"/>
      <c r="J18" s="59"/>
      <c r="K18" s="56"/>
      <c r="L18" s="56"/>
      <c r="M18" s="60"/>
      <c r="N18" s="60"/>
      <c r="O18" s="23"/>
    </row>
    <row r="19" customFormat="false" ht="15" hidden="false" customHeight="false" outlineLevel="0" collapsed="false">
      <c r="A19" s="46"/>
      <c r="B19" s="68"/>
      <c r="C19" s="69"/>
      <c r="D19" s="69"/>
      <c r="E19" s="70"/>
      <c r="F19" s="71"/>
      <c r="G19" s="28"/>
      <c r="H19" s="29"/>
      <c r="I19" s="69"/>
      <c r="J19" s="72"/>
      <c r="K19" s="73"/>
      <c r="L19" s="73"/>
      <c r="M19" s="74"/>
      <c r="N19" s="74"/>
      <c r="O19" s="75"/>
    </row>
    <row r="20" customFormat="false" ht="15" hidden="false" customHeight="false" outlineLevel="0" collapsed="false">
      <c r="A20" s="46"/>
      <c r="B20" s="33"/>
      <c r="C20" s="34"/>
      <c r="D20" s="34"/>
      <c r="E20" s="35" t="n">
        <f aca="false">SUM(E16:E18)</f>
        <v>43.47</v>
      </c>
      <c r="F20" s="34"/>
      <c r="G20" s="34" t="n">
        <f aca="false">SUM(G16:G19)</f>
        <v>94</v>
      </c>
      <c r="H20" s="35" t="n">
        <f aca="false">SUM(H16:H19)</f>
        <v>5.89</v>
      </c>
      <c r="I20" s="34" t="n">
        <f aca="false">SUM(I16:I19)</f>
        <v>40000</v>
      </c>
      <c r="J20" s="36" t="n">
        <f aca="false">SUM(J16:J19)</f>
        <v>235600</v>
      </c>
      <c r="K20" s="76" t="n">
        <f aca="false">SUM(K16:K19)</f>
        <v>42.292</v>
      </c>
      <c r="L20" s="77" t="n">
        <f aca="false">SUM(L16:L19)</f>
        <v>40.854072</v>
      </c>
      <c r="M20" s="78" t="n">
        <f aca="false">SUM(M16:M19)</f>
        <v>608643.964656</v>
      </c>
      <c r="N20" s="37" t="n">
        <f aca="false">SUM(N16:N19)</f>
        <v>29392.94</v>
      </c>
      <c r="O20" s="38" t="n">
        <f aca="false">SUM(O16:O19)</f>
        <v>873636.904656</v>
      </c>
      <c r="P20" s="0" t="s">
        <v>23</v>
      </c>
    </row>
    <row r="22" customFormat="false" ht="14.25" hidden="false" customHeight="true" outlineLevel="0" collapsed="false">
      <c r="A22" s="46" t="n">
        <v>3</v>
      </c>
      <c r="B22" s="2" t="s">
        <v>0</v>
      </c>
      <c r="C22" s="3" t="s">
        <v>1</v>
      </c>
      <c r="D22" s="3" t="s">
        <v>2</v>
      </c>
      <c r="E22" s="4" t="s">
        <v>3</v>
      </c>
      <c r="F22" s="9" t="s">
        <v>4</v>
      </c>
      <c r="G22" s="9"/>
      <c r="H22" s="9"/>
      <c r="I22" s="9"/>
      <c r="J22" s="9"/>
      <c r="K22" s="3" t="s">
        <v>5</v>
      </c>
      <c r="L22" s="3" t="s">
        <v>6</v>
      </c>
      <c r="M22" s="4" t="s">
        <v>7</v>
      </c>
      <c r="N22" s="4" t="s">
        <v>8</v>
      </c>
      <c r="O22" s="6" t="s">
        <v>9</v>
      </c>
    </row>
    <row r="23" customFormat="false" ht="14.25" hidden="false" customHeight="false" outlineLevel="0" collapsed="false">
      <c r="A23" s="46"/>
      <c r="B23" s="2"/>
      <c r="C23" s="3"/>
      <c r="D23" s="3"/>
      <c r="E23" s="4"/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3"/>
      <c r="L23" s="3"/>
      <c r="M23" s="4"/>
      <c r="N23" s="4"/>
      <c r="O23" s="6"/>
    </row>
    <row r="24" customFormat="false" ht="14.25" hidden="false" customHeight="false" outlineLevel="0" collapsed="false">
      <c r="A24" s="46"/>
      <c r="B24" s="47" t="n">
        <v>1</v>
      </c>
      <c r="C24" s="48" t="s">
        <v>39</v>
      </c>
      <c r="D24" s="48"/>
      <c r="E24" s="49" t="n">
        <v>31.16</v>
      </c>
      <c r="F24" s="50" t="s">
        <v>16</v>
      </c>
      <c r="G24" s="48" t="n">
        <v>12</v>
      </c>
      <c r="H24" s="51" t="n">
        <v>1.23</v>
      </c>
      <c r="I24" s="48" t="n">
        <v>48000</v>
      </c>
      <c r="J24" s="52" t="n">
        <f aca="false">I24*H24</f>
        <v>59040</v>
      </c>
      <c r="K24" s="49" t="n">
        <f aca="false">E24-(H24+H25)/5</f>
        <v>30.914</v>
      </c>
      <c r="L24" s="14" t="n">
        <f aca="false">K24*101%</f>
        <v>31.22314</v>
      </c>
      <c r="M24" s="53"/>
      <c r="N24" s="53"/>
      <c r="O24" s="15" t="n">
        <f aca="false">N24+M24+J24</f>
        <v>59040</v>
      </c>
    </row>
    <row r="25" customFormat="false" ht="15" hidden="false" customHeight="false" outlineLevel="0" collapsed="false">
      <c r="A25" s="46"/>
      <c r="B25" s="54" t="s">
        <v>42</v>
      </c>
      <c r="C25" s="55" t="s">
        <v>44</v>
      </c>
      <c r="D25" s="55"/>
      <c r="E25" s="56"/>
      <c r="F25" s="57"/>
      <c r="G25" s="19"/>
      <c r="H25" s="58"/>
      <c r="I25" s="55"/>
      <c r="J25" s="59"/>
      <c r="K25" s="56"/>
      <c r="L25" s="56"/>
      <c r="M25" s="60"/>
      <c r="N25" s="60"/>
      <c r="O25" s="23"/>
    </row>
    <row r="26" customFormat="false" ht="15" hidden="false" customHeight="false" outlineLevel="0" collapsed="false">
      <c r="A26" s="46"/>
      <c r="B26" s="54"/>
      <c r="C26" s="55"/>
      <c r="D26" s="55"/>
      <c r="E26" s="56"/>
      <c r="F26" s="57"/>
      <c r="G26" s="19"/>
      <c r="H26" s="58"/>
      <c r="I26" s="55"/>
      <c r="J26" s="59"/>
      <c r="K26" s="56"/>
      <c r="L26" s="56"/>
      <c r="M26" s="60"/>
      <c r="N26" s="60"/>
      <c r="O26" s="23"/>
    </row>
    <row r="27" customFormat="false" ht="15" hidden="false" customHeight="false" outlineLevel="0" collapsed="false">
      <c r="A27" s="46"/>
      <c r="B27" s="68"/>
      <c r="C27" s="69"/>
      <c r="D27" s="69"/>
      <c r="E27" s="70"/>
      <c r="F27" s="71"/>
      <c r="G27" s="28"/>
      <c r="H27" s="29"/>
      <c r="I27" s="69"/>
      <c r="J27" s="72"/>
      <c r="K27" s="73"/>
      <c r="L27" s="73"/>
      <c r="M27" s="74"/>
      <c r="N27" s="74"/>
      <c r="O27" s="75"/>
    </row>
    <row r="28" customFormat="false" ht="15" hidden="false" customHeight="false" outlineLevel="0" collapsed="false">
      <c r="A28" s="46"/>
      <c r="B28" s="33"/>
      <c r="C28" s="34"/>
      <c r="D28" s="34"/>
      <c r="E28" s="35" t="n">
        <f aca="false">SUM(E24:E26)</f>
        <v>31.16</v>
      </c>
      <c r="F28" s="34"/>
      <c r="G28" s="34" t="n">
        <f aca="false">SUM(G24:G27)</f>
        <v>12</v>
      </c>
      <c r="H28" s="35" t="n">
        <f aca="false">SUM(H24:H27)</f>
        <v>1.23</v>
      </c>
      <c r="I28" s="34" t="n">
        <f aca="false">SUM(I24:I27)</f>
        <v>48000</v>
      </c>
      <c r="J28" s="36" t="n">
        <f aca="false">SUM(J24:J27)</f>
        <v>59040</v>
      </c>
      <c r="K28" s="76" t="n">
        <f aca="false">SUM(K24:K27)</f>
        <v>30.914</v>
      </c>
      <c r="L28" s="77" t="n">
        <f aca="false">SUM(L24:L27)</f>
        <v>31.22314</v>
      </c>
      <c r="M28" s="78" t="n">
        <f aca="false">SUM(M24:M27)</f>
        <v>0</v>
      </c>
      <c r="N28" s="37" t="n">
        <f aca="false">SUM(N24:N27)</f>
        <v>0</v>
      </c>
      <c r="O28" s="38" t="n">
        <f aca="false">SUM(O24:O27)</f>
        <v>59040</v>
      </c>
      <c r="P28" s="0" t="s">
        <v>23</v>
      </c>
    </row>
    <row r="30" customFormat="false" ht="14.25" hidden="false" customHeight="true" outlineLevel="0" collapsed="false">
      <c r="A30" s="46" t="n">
        <v>4</v>
      </c>
      <c r="B30" s="2" t="s">
        <v>0</v>
      </c>
      <c r="C30" s="3" t="s">
        <v>1</v>
      </c>
      <c r="D30" s="3" t="s">
        <v>2</v>
      </c>
      <c r="E30" s="4" t="s">
        <v>3</v>
      </c>
      <c r="F30" s="9" t="s">
        <v>4</v>
      </c>
      <c r="G30" s="9"/>
      <c r="H30" s="9"/>
      <c r="I30" s="9"/>
      <c r="J30" s="9"/>
      <c r="K30" s="3" t="s">
        <v>5</v>
      </c>
      <c r="L30" s="3" t="s">
        <v>6</v>
      </c>
      <c r="M30" s="4" t="s">
        <v>7</v>
      </c>
      <c r="N30" s="4" t="s">
        <v>8</v>
      </c>
      <c r="O30" s="6" t="s">
        <v>9</v>
      </c>
    </row>
    <row r="31" customFormat="false" ht="14.25" hidden="false" customHeight="false" outlineLevel="0" collapsed="false">
      <c r="A31" s="46"/>
      <c r="B31" s="2"/>
      <c r="C31" s="3"/>
      <c r="D31" s="3"/>
      <c r="E31" s="4"/>
      <c r="F31" s="7" t="s">
        <v>10</v>
      </c>
      <c r="G31" s="7" t="s">
        <v>11</v>
      </c>
      <c r="H31" s="7" t="s">
        <v>12</v>
      </c>
      <c r="I31" s="7" t="s">
        <v>13</v>
      </c>
      <c r="J31" s="7" t="s">
        <v>14</v>
      </c>
      <c r="K31" s="3"/>
      <c r="L31" s="3"/>
      <c r="M31" s="4"/>
      <c r="N31" s="4"/>
      <c r="O31" s="6"/>
    </row>
    <row r="32" customFormat="false" ht="14.25" hidden="false" customHeight="false" outlineLevel="0" collapsed="false">
      <c r="A32" s="46"/>
      <c r="B32" s="47" t="n">
        <v>1</v>
      </c>
      <c r="C32" s="48" t="s">
        <v>39</v>
      </c>
      <c r="D32" s="48"/>
      <c r="E32" s="49" t="n">
        <v>12.93</v>
      </c>
      <c r="F32" s="50" t="s">
        <v>16</v>
      </c>
      <c r="G32" s="48" t="n">
        <v>44</v>
      </c>
      <c r="H32" s="51" t="n">
        <v>2.98</v>
      </c>
      <c r="I32" s="48" t="n">
        <v>42000</v>
      </c>
      <c r="J32" s="52" t="n">
        <f aca="false">I32*H32</f>
        <v>125160</v>
      </c>
      <c r="K32" s="49" t="n">
        <f aca="false">E32-(H32+H33)/5</f>
        <v>12.334</v>
      </c>
      <c r="L32" s="14" t="n">
        <f aca="false">K32*80%</f>
        <v>9.8672</v>
      </c>
      <c r="M32" s="53" t="n">
        <f aca="false">L32*15518</f>
        <v>153119.2096</v>
      </c>
      <c r="N32" s="53" t="n">
        <f aca="false">K32*950</f>
        <v>11717.3</v>
      </c>
      <c r="O32" s="15" t="n">
        <f aca="false">N32+M32+J32</f>
        <v>289996.5096</v>
      </c>
    </row>
    <row r="33" customFormat="false" ht="15" hidden="false" customHeight="false" outlineLevel="0" collapsed="false">
      <c r="A33" s="46"/>
      <c r="B33" s="54" t="s">
        <v>17</v>
      </c>
      <c r="C33" s="55" t="s">
        <v>45</v>
      </c>
      <c r="D33" s="55"/>
      <c r="E33" s="56"/>
      <c r="F33" s="57"/>
      <c r="G33" s="19"/>
      <c r="H33" s="58"/>
      <c r="I33" s="55"/>
      <c r="J33" s="59"/>
      <c r="K33" s="56"/>
      <c r="L33" s="56"/>
      <c r="M33" s="60"/>
      <c r="N33" s="60"/>
      <c r="O33" s="23"/>
    </row>
    <row r="34" customFormat="false" ht="15" hidden="false" customHeight="false" outlineLevel="0" collapsed="false">
      <c r="A34" s="46"/>
      <c r="B34" s="54"/>
      <c r="C34" s="55"/>
      <c r="D34" s="55"/>
      <c r="E34" s="56"/>
      <c r="F34" s="57"/>
      <c r="G34" s="19"/>
      <c r="H34" s="58"/>
      <c r="I34" s="55"/>
      <c r="J34" s="59"/>
      <c r="K34" s="56"/>
      <c r="L34" s="56"/>
      <c r="M34" s="60"/>
      <c r="N34" s="60"/>
      <c r="O34" s="23"/>
    </row>
    <row r="35" customFormat="false" ht="15" hidden="false" customHeight="false" outlineLevel="0" collapsed="false">
      <c r="A35" s="46"/>
      <c r="B35" s="68"/>
      <c r="C35" s="69"/>
      <c r="D35" s="69"/>
      <c r="E35" s="70"/>
      <c r="F35" s="71"/>
      <c r="G35" s="28"/>
      <c r="H35" s="29"/>
      <c r="I35" s="69"/>
      <c r="J35" s="72"/>
      <c r="K35" s="73"/>
      <c r="L35" s="73"/>
      <c r="M35" s="74"/>
      <c r="N35" s="74"/>
      <c r="O35" s="75"/>
    </row>
    <row r="36" customFormat="false" ht="15" hidden="false" customHeight="false" outlineLevel="0" collapsed="false">
      <c r="A36" s="46"/>
      <c r="B36" s="33"/>
      <c r="C36" s="34"/>
      <c r="D36" s="34"/>
      <c r="E36" s="35" t="n">
        <f aca="false">SUM(E32:E34)</f>
        <v>12.93</v>
      </c>
      <c r="F36" s="34"/>
      <c r="G36" s="34" t="n">
        <f aca="false">SUM(G32:G35)</f>
        <v>44</v>
      </c>
      <c r="H36" s="35" t="n">
        <f aca="false">SUM(H32:H35)</f>
        <v>2.98</v>
      </c>
      <c r="I36" s="34" t="n">
        <f aca="false">SUM(I32:I35)</f>
        <v>42000</v>
      </c>
      <c r="J36" s="36" t="n">
        <f aca="false">SUM(J32:J35)</f>
        <v>125160</v>
      </c>
      <c r="K36" s="76" t="n">
        <f aca="false">SUM(K32:K35)</f>
        <v>12.334</v>
      </c>
      <c r="L36" s="77" t="n">
        <f aca="false">SUM(L32:L35)</f>
        <v>9.8672</v>
      </c>
      <c r="M36" s="78" t="n">
        <f aca="false">SUM(M32:M35)</f>
        <v>153119.2096</v>
      </c>
      <c r="N36" s="37" t="n">
        <f aca="false">SUM(N32:N35)</f>
        <v>11717.3</v>
      </c>
      <c r="O36" s="38" t="n">
        <f aca="false">SUM(O32:O35)</f>
        <v>289996.5096</v>
      </c>
      <c r="P36" s="0" t="s">
        <v>23</v>
      </c>
    </row>
    <row r="38" customFormat="false" ht="14.25" hidden="false" customHeight="true" outlineLevel="0" collapsed="false">
      <c r="A38" s="46" t="n">
        <v>5</v>
      </c>
      <c r="B38" s="2" t="s">
        <v>0</v>
      </c>
      <c r="C38" s="3" t="s">
        <v>1</v>
      </c>
      <c r="D38" s="3" t="s">
        <v>2</v>
      </c>
      <c r="E38" s="4" t="s">
        <v>3</v>
      </c>
      <c r="F38" s="9" t="s">
        <v>4</v>
      </c>
      <c r="G38" s="9"/>
      <c r="H38" s="9"/>
      <c r="I38" s="9"/>
      <c r="J38" s="9"/>
      <c r="K38" s="3" t="s">
        <v>5</v>
      </c>
      <c r="L38" s="3" t="s">
        <v>6</v>
      </c>
      <c r="M38" s="4" t="s">
        <v>7</v>
      </c>
      <c r="N38" s="4" t="s">
        <v>8</v>
      </c>
      <c r="O38" s="6" t="s">
        <v>9</v>
      </c>
    </row>
    <row r="39" customFormat="false" ht="14.25" hidden="false" customHeight="false" outlineLevel="0" collapsed="false">
      <c r="A39" s="46"/>
      <c r="B39" s="2"/>
      <c r="C39" s="3"/>
      <c r="D39" s="3"/>
      <c r="E39" s="4"/>
      <c r="F39" s="7" t="s">
        <v>10</v>
      </c>
      <c r="G39" s="7" t="s">
        <v>11</v>
      </c>
      <c r="H39" s="7" t="s">
        <v>12</v>
      </c>
      <c r="I39" s="7" t="s">
        <v>13</v>
      </c>
      <c r="J39" s="7" t="s">
        <v>14</v>
      </c>
      <c r="K39" s="3"/>
      <c r="L39" s="3"/>
      <c r="M39" s="4"/>
      <c r="N39" s="4"/>
      <c r="O39" s="6"/>
    </row>
    <row r="40" customFormat="false" ht="14.25" hidden="false" customHeight="false" outlineLevel="0" collapsed="false">
      <c r="A40" s="46"/>
      <c r="B40" s="47" t="n">
        <v>1</v>
      </c>
      <c r="C40" s="48" t="s">
        <v>39</v>
      </c>
      <c r="D40" s="48"/>
      <c r="E40" s="49"/>
      <c r="F40" s="50" t="s">
        <v>46</v>
      </c>
      <c r="G40" s="48"/>
      <c r="H40" s="51"/>
      <c r="I40" s="48"/>
      <c r="J40" s="52" t="n">
        <f aca="false">4.37*2000</f>
        <v>8740</v>
      </c>
      <c r="K40" s="49" t="n">
        <v>0</v>
      </c>
      <c r="L40" s="14" t="n">
        <f aca="false">K40*102%</f>
        <v>0</v>
      </c>
      <c r="M40" s="53"/>
      <c r="N40" s="53" t="n">
        <f aca="false">3.24*15500</f>
        <v>50220</v>
      </c>
      <c r="O40" s="15" t="n">
        <f aca="false">N40+M40+J40</f>
        <v>58960</v>
      </c>
    </row>
    <row r="41" customFormat="false" ht="15" hidden="false" customHeight="false" outlineLevel="0" collapsed="false">
      <c r="A41" s="46"/>
      <c r="B41" s="54" t="s">
        <v>42</v>
      </c>
      <c r="C41" s="55" t="s">
        <v>47</v>
      </c>
      <c r="D41" s="55"/>
      <c r="E41" s="56"/>
      <c r="F41" s="57"/>
      <c r="G41" s="19"/>
      <c r="H41" s="58"/>
      <c r="I41" s="55"/>
      <c r="J41" s="59"/>
      <c r="K41" s="56"/>
      <c r="L41" s="56"/>
      <c r="M41" s="60"/>
      <c r="N41" s="60"/>
      <c r="O41" s="23"/>
    </row>
    <row r="42" customFormat="false" ht="15" hidden="false" customHeight="false" outlineLevel="0" collapsed="false">
      <c r="A42" s="46"/>
      <c r="B42" s="79" t="s">
        <v>48</v>
      </c>
      <c r="C42" s="79"/>
      <c r="D42" s="55"/>
      <c r="E42" s="56"/>
      <c r="F42" s="57"/>
      <c r="G42" s="19"/>
      <c r="H42" s="58"/>
      <c r="I42" s="55"/>
      <c r="J42" s="59"/>
      <c r="K42" s="56"/>
      <c r="L42" s="56"/>
      <c r="M42" s="60"/>
      <c r="N42" s="60"/>
      <c r="O42" s="23"/>
    </row>
    <row r="43" customFormat="false" ht="15" hidden="false" customHeight="false" outlineLevel="0" collapsed="false">
      <c r="A43" s="46"/>
      <c r="B43" s="79"/>
      <c r="C43" s="80"/>
      <c r="D43" s="55"/>
      <c r="E43" s="56"/>
      <c r="F43" s="57"/>
      <c r="G43" s="19"/>
      <c r="H43" s="58"/>
      <c r="I43" s="55"/>
      <c r="J43" s="59"/>
      <c r="K43" s="56"/>
      <c r="L43" s="56"/>
      <c r="M43" s="60"/>
      <c r="N43" s="60"/>
      <c r="O43" s="23"/>
    </row>
    <row r="44" customFormat="false" ht="14.25" hidden="false" customHeight="false" outlineLevel="0" collapsed="false">
      <c r="A44" s="46"/>
      <c r="B44" s="54" t="n">
        <v>2</v>
      </c>
      <c r="C44" s="80"/>
      <c r="D44" s="55"/>
      <c r="E44" s="56" t="n">
        <v>43.37</v>
      </c>
      <c r="F44" s="57" t="s">
        <v>16</v>
      </c>
      <c r="G44" s="55" t="n">
        <v>190</v>
      </c>
      <c r="H44" s="81" t="n">
        <v>8.84</v>
      </c>
      <c r="I44" s="55" t="n">
        <v>42000</v>
      </c>
      <c r="J44" s="59" t="n">
        <f aca="false">I44*H44</f>
        <v>371280</v>
      </c>
      <c r="K44" s="56" t="n">
        <f aca="false">E44-(H44+H45+H46)/5</f>
        <v>41.1</v>
      </c>
      <c r="L44" s="22" t="n">
        <f aca="false">K44*79.8%</f>
        <v>32.7978</v>
      </c>
      <c r="M44" s="60" t="n">
        <f aca="false">L44*15533.98</f>
        <v>509480.369244</v>
      </c>
      <c r="N44" s="60" t="n">
        <f aca="false">K44*950</f>
        <v>39045</v>
      </c>
      <c r="O44" s="23" t="n">
        <f aca="false">N44+M44+J44+J45+J46</f>
        <v>935324.869244</v>
      </c>
    </row>
    <row r="45" customFormat="false" ht="14.25" hidden="false" customHeight="false" outlineLevel="0" collapsed="false">
      <c r="A45" s="46"/>
      <c r="B45" s="54" t="s">
        <v>34</v>
      </c>
      <c r="C45" s="80"/>
      <c r="D45" s="55"/>
      <c r="E45" s="56"/>
      <c r="F45" s="57" t="s">
        <v>16</v>
      </c>
      <c r="G45" s="55" t="n">
        <v>6</v>
      </c>
      <c r="H45" s="81" t="n">
        <v>0.38</v>
      </c>
      <c r="I45" s="55" t="n">
        <v>40000</v>
      </c>
      <c r="J45" s="59" t="n">
        <f aca="false">I45*H45</f>
        <v>15200</v>
      </c>
      <c r="K45" s="56"/>
      <c r="L45" s="56"/>
      <c r="M45" s="60"/>
      <c r="N45" s="60"/>
      <c r="O45" s="23"/>
    </row>
    <row r="46" customFormat="false" ht="15" hidden="false" customHeight="false" outlineLevel="0" collapsed="false">
      <c r="A46" s="46"/>
      <c r="B46" s="79"/>
      <c r="C46" s="80"/>
      <c r="D46" s="55"/>
      <c r="E46" s="56"/>
      <c r="F46" s="57" t="s">
        <v>18</v>
      </c>
      <c r="G46" s="19" t="n">
        <v>1</v>
      </c>
      <c r="H46" s="58" t="n">
        <v>2.13</v>
      </c>
      <c r="I46" s="55" t="n">
        <v>150</v>
      </c>
      <c r="J46" s="59" t="n">
        <f aca="false">I46*H46</f>
        <v>319.5</v>
      </c>
      <c r="K46" s="56"/>
      <c r="L46" s="56"/>
      <c r="M46" s="60"/>
      <c r="N46" s="60"/>
      <c r="O46" s="23"/>
    </row>
    <row r="47" customFormat="false" ht="15" hidden="false" customHeight="false" outlineLevel="0" collapsed="false">
      <c r="A47" s="46"/>
      <c r="B47" s="79"/>
      <c r="C47" s="80"/>
      <c r="D47" s="55"/>
      <c r="E47" s="56"/>
      <c r="F47" s="57"/>
      <c r="G47" s="19"/>
      <c r="H47" s="58"/>
      <c r="I47" s="55"/>
      <c r="J47" s="59"/>
      <c r="K47" s="56"/>
      <c r="L47" s="56"/>
      <c r="M47" s="60"/>
      <c r="N47" s="60"/>
      <c r="O47" s="23"/>
    </row>
    <row r="48" customFormat="false" ht="15" hidden="false" customHeight="false" outlineLevel="0" collapsed="false">
      <c r="A48" s="46"/>
      <c r="B48" s="79"/>
      <c r="C48" s="80"/>
      <c r="D48" s="55"/>
      <c r="E48" s="56"/>
      <c r="F48" s="57"/>
      <c r="G48" s="19"/>
      <c r="H48" s="58"/>
      <c r="I48" s="55"/>
      <c r="J48" s="59"/>
      <c r="K48" s="56"/>
      <c r="L48" s="56"/>
      <c r="M48" s="60"/>
      <c r="N48" s="60"/>
      <c r="O48" s="23"/>
    </row>
    <row r="49" customFormat="false" ht="15" hidden="false" customHeight="false" outlineLevel="0" collapsed="false">
      <c r="A49" s="46"/>
      <c r="B49" s="68"/>
      <c r="C49" s="69"/>
      <c r="D49" s="69"/>
      <c r="E49" s="70"/>
      <c r="F49" s="71"/>
      <c r="G49" s="28"/>
      <c r="H49" s="29"/>
      <c r="I49" s="69"/>
      <c r="J49" s="72"/>
      <c r="K49" s="73"/>
      <c r="L49" s="73"/>
      <c r="M49" s="74"/>
      <c r="N49" s="74"/>
      <c r="O49" s="75"/>
    </row>
    <row r="50" customFormat="false" ht="15" hidden="false" customHeight="false" outlineLevel="0" collapsed="false">
      <c r="A50" s="46"/>
      <c r="B50" s="33"/>
      <c r="C50" s="34"/>
      <c r="D50" s="34"/>
      <c r="E50" s="35" t="n">
        <f aca="false">SUM(E40:E49)</f>
        <v>43.37</v>
      </c>
      <c r="F50" s="34"/>
      <c r="G50" s="34" t="n">
        <f aca="false">SUM(G40:G49)</f>
        <v>197</v>
      </c>
      <c r="H50" s="35" t="n">
        <f aca="false">SUM(H40:H49)</f>
        <v>11.35</v>
      </c>
      <c r="I50" s="34" t="n">
        <f aca="false">SUM(I40:I49)</f>
        <v>82150</v>
      </c>
      <c r="J50" s="36" t="n">
        <f aca="false">SUM(J40:J49)</f>
        <v>395539.5</v>
      </c>
      <c r="K50" s="76" t="n">
        <f aca="false">SUM(K40:K49)</f>
        <v>41.1</v>
      </c>
      <c r="L50" s="77" t="n">
        <f aca="false">SUM(L40:L49)</f>
        <v>32.7978</v>
      </c>
      <c r="M50" s="78" t="n">
        <f aca="false">SUM(M40:M49)</f>
        <v>509480.369244</v>
      </c>
      <c r="N50" s="37" t="n">
        <f aca="false">SUM(N40:N49)</f>
        <v>89265</v>
      </c>
      <c r="O50" s="38" t="n">
        <f aca="false">SUM(O40:O49)</f>
        <v>994284.869244</v>
      </c>
      <c r="P50" s="0" t="s">
        <v>23</v>
      </c>
    </row>
    <row r="52" customFormat="false" ht="14.25" hidden="false" customHeight="true" outlineLevel="0" collapsed="false">
      <c r="A52" s="46" t="n">
        <v>6</v>
      </c>
      <c r="B52" s="2" t="s">
        <v>0</v>
      </c>
      <c r="C52" s="3" t="s">
        <v>1</v>
      </c>
      <c r="D52" s="3" t="s">
        <v>2</v>
      </c>
      <c r="E52" s="4" t="s">
        <v>3</v>
      </c>
      <c r="F52" s="9" t="s">
        <v>4</v>
      </c>
      <c r="G52" s="9"/>
      <c r="H52" s="9"/>
      <c r="I52" s="9"/>
      <c r="J52" s="9"/>
      <c r="K52" s="3" t="s">
        <v>5</v>
      </c>
      <c r="L52" s="3" t="s">
        <v>6</v>
      </c>
      <c r="M52" s="4" t="s">
        <v>7</v>
      </c>
      <c r="N52" s="4" t="s">
        <v>8</v>
      </c>
      <c r="O52" s="6" t="s">
        <v>9</v>
      </c>
    </row>
    <row r="53" customFormat="false" ht="14.25" hidden="false" customHeight="false" outlineLevel="0" collapsed="false">
      <c r="A53" s="46"/>
      <c r="B53" s="2"/>
      <c r="C53" s="3"/>
      <c r="D53" s="3"/>
      <c r="E53" s="4"/>
      <c r="F53" s="7" t="s">
        <v>10</v>
      </c>
      <c r="G53" s="7" t="s">
        <v>11</v>
      </c>
      <c r="H53" s="7" t="s">
        <v>12</v>
      </c>
      <c r="I53" s="7" t="s">
        <v>13</v>
      </c>
      <c r="J53" s="7" t="s">
        <v>14</v>
      </c>
      <c r="K53" s="3"/>
      <c r="L53" s="3"/>
      <c r="M53" s="4"/>
      <c r="N53" s="4"/>
      <c r="O53" s="6"/>
    </row>
    <row r="54" customFormat="false" ht="14.25" hidden="false" customHeight="false" outlineLevel="0" collapsed="false">
      <c r="A54" s="46"/>
      <c r="B54" s="47" t="n">
        <v>1</v>
      </c>
      <c r="C54" s="48" t="s">
        <v>39</v>
      </c>
      <c r="D54" s="48"/>
      <c r="E54" s="49" t="n">
        <v>43.01</v>
      </c>
      <c r="F54" s="50" t="s">
        <v>16</v>
      </c>
      <c r="G54" s="48" t="n">
        <v>48</v>
      </c>
      <c r="H54" s="51" t="n">
        <v>1.39</v>
      </c>
      <c r="I54" s="48" t="n">
        <v>40000</v>
      </c>
      <c r="J54" s="82" t="n">
        <f aca="false">I54*H54</f>
        <v>55600</v>
      </c>
      <c r="K54" s="49" t="n">
        <f aca="false">E54-(H54+H55)/5</f>
        <v>42.252</v>
      </c>
      <c r="L54" s="14" t="n">
        <f aca="false">K54*96.6%</f>
        <v>40.815432</v>
      </c>
      <c r="M54" s="53" t="n">
        <f aca="false">L54*14432</f>
        <v>589048.314624</v>
      </c>
      <c r="N54" s="53" t="n">
        <f aca="false">K54*700</f>
        <v>29576.4</v>
      </c>
      <c r="O54" s="15" t="n">
        <f aca="false">N54+M54+J54+J55</f>
        <v>764224.714624</v>
      </c>
    </row>
    <row r="55" customFormat="false" ht="15" hidden="false" customHeight="false" outlineLevel="0" collapsed="false">
      <c r="A55" s="46"/>
      <c r="B55" s="54" t="s">
        <v>42</v>
      </c>
      <c r="C55" s="55" t="s">
        <v>49</v>
      </c>
      <c r="D55" s="55"/>
      <c r="E55" s="56"/>
      <c r="F55" s="57" t="s">
        <v>16</v>
      </c>
      <c r="G55" s="19" t="n">
        <v>36</v>
      </c>
      <c r="H55" s="58" t="n">
        <v>2.4</v>
      </c>
      <c r="I55" s="55" t="n">
        <v>37500</v>
      </c>
      <c r="J55" s="59" t="n">
        <f aca="false">I55*H55</f>
        <v>90000</v>
      </c>
      <c r="K55" s="56"/>
      <c r="L55" s="56"/>
      <c r="M55" s="60"/>
      <c r="N55" s="60"/>
      <c r="O55" s="23"/>
    </row>
    <row r="56" customFormat="false" ht="15" hidden="false" customHeight="false" outlineLevel="0" collapsed="false">
      <c r="A56" s="46"/>
      <c r="B56" s="54"/>
      <c r="C56" s="55"/>
      <c r="D56" s="55"/>
      <c r="E56" s="56"/>
      <c r="F56" s="57"/>
      <c r="G56" s="19"/>
      <c r="H56" s="58"/>
      <c r="I56" s="55"/>
      <c r="J56" s="59"/>
      <c r="K56" s="56"/>
      <c r="L56" s="56"/>
      <c r="M56" s="60"/>
      <c r="N56" s="60"/>
      <c r="O56" s="23"/>
    </row>
    <row r="57" customFormat="false" ht="15" hidden="false" customHeight="false" outlineLevel="0" collapsed="false">
      <c r="A57" s="46"/>
      <c r="B57" s="68"/>
      <c r="C57" s="69"/>
      <c r="D57" s="69"/>
      <c r="E57" s="70"/>
      <c r="F57" s="71"/>
      <c r="G57" s="28"/>
      <c r="H57" s="29"/>
      <c r="I57" s="69"/>
      <c r="J57" s="72"/>
      <c r="K57" s="73"/>
      <c r="L57" s="73"/>
      <c r="M57" s="74"/>
      <c r="N57" s="74"/>
      <c r="O57" s="75"/>
    </row>
    <row r="58" customFormat="false" ht="15" hidden="false" customHeight="false" outlineLevel="0" collapsed="false">
      <c r="A58" s="46"/>
      <c r="B58" s="33"/>
      <c r="C58" s="34"/>
      <c r="D58" s="34"/>
      <c r="E58" s="35" t="n">
        <f aca="false">SUM(E54:E56)</f>
        <v>43.01</v>
      </c>
      <c r="F58" s="34"/>
      <c r="G58" s="34" t="n">
        <f aca="false">SUM(G54:G57)</f>
        <v>84</v>
      </c>
      <c r="H58" s="35" t="n">
        <f aca="false">SUM(H54:H57)</f>
        <v>3.79</v>
      </c>
      <c r="I58" s="34" t="n">
        <f aca="false">SUM(I54:I57)</f>
        <v>77500</v>
      </c>
      <c r="J58" s="36" t="n">
        <f aca="false">SUM(J54:J57)</f>
        <v>145600</v>
      </c>
      <c r="K58" s="76" t="n">
        <f aca="false">SUM(K54:K57)</f>
        <v>42.252</v>
      </c>
      <c r="L58" s="77" t="n">
        <f aca="false">SUM(L54:L57)</f>
        <v>40.815432</v>
      </c>
      <c r="M58" s="78" t="n">
        <f aca="false">SUM(M54:M57)</f>
        <v>589048.314624</v>
      </c>
      <c r="N58" s="37" t="n">
        <f aca="false">SUM(N54:N57)</f>
        <v>29576.4</v>
      </c>
      <c r="O58" s="38" t="n">
        <f aca="false">SUM(O54:O57)</f>
        <v>764224.714624</v>
      </c>
    </row>
  </sheetData>
  <mergeCells count="67">
    <mergeCell ref="A2:A12"/>
    <mergeCell ref="B2:B3"/>
    <mergeCell ref="C2:C3"/>
    <mergeCell ref="D2:D3"/>
    <mergeCell ref="E2:E3"/>
    <mergeCell ref="F2:J2"/>
    <mergeCell ref="K2:K3"/>
    <mergeCell ref="L2:L3"/>
    <mergeCell ref="M2:M3"/>
    <mergeCell ref="N2:N3"/>
    <mergeCell ref="O2:O3"/>
    <mergeCell ref="A14:A20"/>
    <mergeCell ref="B14:B15"/>
    <mergeCell ref="C14:C15"/>
    <mergeCell ref="D14:D15"/>
    <mergeCell ref="E14:E15"/>
    <mergeCell ref="F14:J14"/>
    <mergeCell ref="K14:K15"/>
    <mergeCell ref="L14:L15"/>
    <mergeCell ref="M14:M15"/>
    <mergeCell ref="N14:N15"/>
    <mergeCell ref="O14:O15"/>
    <mergeCell ref="A22:A28"/>
    <mergeCell ref="B22:B23"/>
    <mergeCell ref="C22:C23"/>
    <mergeCell ref="D22:D23"/>
    <mergeCell ref="E22:E23"/>
    <mergeCell ref="F22:J22"/>
    <mergeCell ref="K22:K23"/>
    <mergeCell ref="L22:L23"/>
    <mergeCell ref="M22:M23"/>
    <mergeCell ref="N22:N23"/>
    <mergeCell ref="O22:O23"/>
    <mergeCell ref="A30:A36"/>
    <mergeCell ref="B30:B31"/>
    <mergeCell ref="C30:C31"/>
    <mergeCell ref="D30:D31"/>
    <mergeCell ref="E30:E31"/>
    <mergeCell ref="F30:J30"/>
    <mergeCell ref="K30:K31"/>
    <mergeCell ref="L30:L31"/>
    <mergeCell ref="M30:M31"/>
    <mergeCell ref="N30:N31"/>
    <mergeCell ref="O30:O31"/>
    <mergeCell ref="A38:A50"/>
    <mergeCell ref="B38:B39"/>
    <mergeCell ref="C38:C39"/>
    <mergeCell ref="D38:D39"/>
    <mergeCell ref="E38:E39"/>
    <mergeCell ref="F38:J38"/>
    <mergeCell ref="K38:K39"/>
    <mergeCell ref="L38:L39"/>
    <mergeCell ref="M38:M39"/>
    <mergeCell ref="N38:N39"/>
    <mergeCell ref="O38:O39"/>
    <mergeCell ref="B42:C42"/>
    <mergeCell ref="A52:A58"/>
    <mergeCell ref="B52:B53"/>
    <mergeCell ref="C52:C53"/>
    <mergeCell ref="D52:D53"/>
    <mergeCell ref="E52:E53"/>
    <mergeCell ref="F52:J52"/>
    <mergeCell ref="K52:K53"/>
    <mergeCell ref="L52:L53"/>
    <mergeCell ref="M52:M53"/>
    <mergeCell ref="N52:N53"/>
    <mergeCell ref="O52:O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R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7" activeCellId="0" sqref="I177"/>
    </sheetView>
  </sheetViews>
  <sheetFormatPr defaultColWidth="8.5" defaultRowHeight="14.25" customHeight="false" zeroHeight="false" outlineLevelRow="0" outlineLevelCol="0"/>
  <cols>
    <col collapsed="false" customWidth="true" hidden="false" outlineLevel="0" max="3" min="3" style="0" width="9.09"/>
    <col collapsed="false" customWidth="true" hidden="false" outlineLevel="0" max="4" min="4" style="0" width="18.91"/>
    <col collapsed="false" customWidth="true" hidden="false" outlineLevel="0" max="5" min="5" style="0" width="9.36"/>
    <col collapsed="false" customWidth="true" hidden="false" outlineLevel="0" max="6" min="6" style="0" width="14.54"/>
    <col collapsed="false" customWidth="true" hidden="false" outlineLevel="0" max="13" min="13" style="0" width="11.54"/>
  </cols>
  <sheetData>
    <row r="2" customFormat="false" ht="14.25" hidden="false" customHeight="true" outlineLevel="0" collapsed="false">
      <c r="A2" s="1" t="n">
        <v>1</v>
      </c>
      <c r="B2" s="2" t="s">
        <v>0</v>
      </c>
      <c r="C2" s="3" t="s">
        <v>1</v>
      </c>
      <c r="D2" s="3" t="s">
        <v>2</v>
      </c>
      <c r="E2" s="4" t="s">
        <v>3</v>
      </c>
      <c r="F2" s="9" t="s">
        <v>4</v>
      </c>
      <c r="G2" s="9"/>
      <c r="H2" s="9"/>
      <c r="I2" s="9"/>
      <c r="J2" s="9"/>
      <c r="K2" s="3" t="s">
        <v>5</v>
      </c>
      <c r="L2" s="3" t="s">
        <v>6</v>
      </c>
      <c r="M2" s="4" t="s">
        <v>7</v>
      </c>
      <c r="N2" s="4" t="s">
        <v>8</v>
      </c>
      <c r="O2" s="6" t="s">
        <v>9</v>
      </c>
    </row>
    <row r="3" customFormat="false" ht="15" hidden="false" customHeight="true" outlineLevel="0" collapsed="false">
      <c r="A3" s="1"/>
      <c r="B3" s="2"/>
      <c r="C3" s="3"/>
      <c r="D3" s="3"/>
      <c r="E3" s="4"/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3"/>
      <c r="L3" s="3"/>
      <c r="M3" s="4"/>
      <c r="N3" s="4"/>
      <c r="O3" s="6"/>
    </row>
    <row r="4" customFormat="false" ht="15" hidden="false" customHeight="true" outlineLevel="0" collapsed="false">
      <c r="A4" s="1"/>
      <c r="B4" s="8" t="n">
        <v>1</v>
      </c>
      <c r="C4" s="9" t="s">
        <v>50</v>
      </c>
      <c r="D4" s="9"/>
      <c r="E4" s="10" t="n">
        <v>171.28</v>
      </c>
      <c r="F4" s="11" t="s">
        <v>51</v>
      </c>
      <c r="G4" s="9" t="n">
        <v>315</v>
      </c>
      <c r="H4" s="51" t="n">
        <v>2.16</v>
      </c>
      <c r="I4" s="9" t="n">
        <v>10200</v>
      </c>
      <c r="J4" s="13" t="n">
        <f aca="false">I4*H4</f>
        <v>22032</v>
      </c>
      <c r="K4" s="14" t="n">
        <f aca="false">E4-(H4+H5+H6+H7+H8)/5</f>
        <v>143.166</v>
      </c>
      <c r="L4" s="14" t="n">
        <f aca="false">K4*80.5%</f>
        <v>115.24863</v>
      </c>
      <c r="M4" s="13" t="n">
        <f aca="false">L4*15000</f>
        <v>1728729.45</v>
      </c>
      <c r="N4" s="13" t="n">
        <f aca="false">K4*350</f>
        <v>50108.1</v>
      </c>
      <c r="O4" s="15" t="n">
        <f aca="false">N4+M4+J4+J5+J6+J7+M5+J8+N5</f>
        <v>2037367.25</v>
      </c>
    </row>
    <row r="5" customFormat="false" ht="15" hidden="false" customHeight="true" outlineLevel="0" collapsed="false">
      <c r="A5" s="1"/>
      <c r="B5" s="16" t="s">
        <v>17</v>
      </c>
      <c r="C5" s="17"/>
      <c r="D5" s="17"/>
      <c r="E5" s="18"/>
      <c r="F5" s="19" t="s">
        <v>51</v>
      </c>
      <c r="G5" s="17" t="n">
        <v>1808</v>
      </c>
      <c r="H5" s="81" t="n">
        <v>23.18</v>
      </c>
      <c r="I5" s="17" t="n">
        <v>9000</v>
      </c>
      <c r="J5" s="21" t="n">
        <f aca="false">I5*H5</f>
        <v>208620</v>
      </c>
      <c r="K5" s="22"/>
      <c r="L5" s="22"/>
      <c r="M5" s="21"/>
      <c r="N5" s="21" t="n">
        <f aca="false">5200+2060+2000</f>
        <v>9260</v>
      </c>
      <c r="O5" s="23"/>
    </row>
    <row r="6" customFormat="false" ht="15" hidden="false" customHeight="true" outlineLevel="0" collapsed="false">
      <c r="A6" s="1"/>
      <c r="B6" s="16"/>
      <c r="C6" s="17"/>
      <c r="D6" s="17"/>
      <c r="E6" s="18"/>
      <c r="F6" s="19" t="s">
        <v>20</v>
      </c>
      <c r="G6" s="17" t="n">
        <v>19</v>
      </c>
      <c r="H6" s="81" t="n">
        <v>48.57</v>
      </c>
      <c r="I6" s="17" t="n">
        <v>150</v>
      </c>
      <c r="J6" s="21" t="n">
        <f aca="false">I6*H6</f>
        <v>7285.5</v>
      </c>
      <c r="K6" s="22"/>
      <c r="L6" s="22"/>
      <c r="M6" s="21"/>
      <c r="N6" s="21"/>
      <c r="O6" s="23"/>
    </row>
    <row r="7" customFormat="false" ht="15" hidden="false" customHeight="true" outlineLevel="0" collapsed="false">
      <c r="A7" s="1"/>
      <c r="B7" s="16"/>
      <c r="C7" s="17"/>
      <c r="D7" s="17"/>
      <c r="E7" s="18"/>
      <c r="F7" s="19" t="s">
        <v>18</v>
      </c>
      <c r="G7" s="17" t="n">
        <v>33</v>
      </c>
      <c r="H7" s="81" t="n">
        <v>52.91</v>
      </c>
      <c r="I7" s="17" t="n">
        <v>170</v>
      </c>
      <c r="J7" s="21" t="n">
        <f aca="false">I7*H7</f>
        <v>8994.7</v>
      </c>
      <c r="K7" s="22"/>
      <c r="L7" s="22"/>
      <c r="M7" s="21"/>
      <c r="N7" s="21"/>
      <c r="O7" s="23"/>
    </row>
    <row r="8" customFormat="false" ht="15" hidden="false" customHeight="true" outlineLevel="0" collapsed="false">
      <c r="A8" s="1"/>
      <c r="B8" s="16"/>
      <c r="C8" s="17"/>
      <c r="D8" s="17"/>
      <c r="E8" s="18"/>
      <c r="F8" s="19" t="s">
        <v>19</v>
      </c>
      <c r="G8" s="17" t="n">
        <v>4</v>
      </c>
      <c r="H8" s="81" t="n">
        <v>13.75</v>
      </c>
      <c r="I8" s="17" t="n">
        <v>170</v>
      </c>
      <c r="J8" s="21" t="n">
        <f aca="false">I8*H8</f>
        <v>2337.5</v>
      </c>
      <c r="K8" s="22"/>
      <c r="L8" s="22"/>
      <c r="M8" s="21"/>
      <c r="N8" s="21"/>
      <c r="O8" s="23"/>
    </row>
    <row r="9" customFormat="false" ht="15" hidden="false" customHeight="true" outlineLevel="0" collapsed="false">
      <c r="A9" s="1"/>
      <c r="B9" s="16"/>
      <c r="C9" s="17"/>
      <c r="D9" s="17"/>
      <c r="E9" s="18"/>
      <c r="F9" s="19"/>
      <c r="G9" s="17"/>
      <c r="H9" s="81"/>
      <c r="I9" s="17"/>
      <c r="J9" s="21"/>
      <c r="K9" s="22"/>
      <c r="L9" s="22"/>
      <c r="M9" s="21"/>
      <c r="N9" s="21"/>
      <c r="O9" s="23"/>
    </row>
    <row r="10" customFormat="false" ht="15" hidden="false" customHeight="true" outlineLevel="0" collapsed="false">
      <c r="A10" s="1"/>
      <c r="B10" s="16" t="n">
        <v>2</v>
      </c>
      <c r="C10" s="17"/>
      <c r="D10" s="83"/>
      <c r="E10" s="24" t="n">
        <v>18.87</v>
      </c>
      <c r="F10" s="19" t="s">
        <v>51</v>
      </c>
      <c r="G10" s="17" t="n">
        <v>1</v>
      </c>
      <c r="H10" s="20" t="n">
        <v>1</v>
      </c>
      <c r="I10" s="17" t="n">
        <v>11000</v>
      </c>
      <c r="J10" s="21" t="n">
        <f aca="false">I10*H10</f>
        <v>11000</v>
      </c>
      <c r="K10" s="22" t="n">
        <f aca="false">E10-(H10+H11)/5</f>
        <v>18.67</v>
      </c>
      <c r="L10" s="22" t="n">
        <f aca="false">K10*80.5%</f>
        <v>15.02935</v>
      </c>
      <c r="M10" s="21" t="n">
        <f aca="false">L10*14727</f>
        <v>221337.23745</v>
      </c>
      <c r="N10" s="21" t="n">
        <f aca="false">K10*350</f>
        <v>6534.5</v>
      </c>
      <c r="O10" s="23" t="n">
        <f aca="false">N10+J10+M10+J11</f>
        <v>238871.73745</v>
      </c>
    </row>
    <row r="11" customFormat="false" ht="15" hidden="false" customHeight="true" outlineLevel="0" collapsed="false">
      <c r="A11" s="1"/>
      <c r="B11" s="16" t="s">
        <v>17</v>
      </c>
      <c r="C11" s="17"/>
      <c r="D11" s="83"/>
      <c r="E11" s="18"/>
      <c r="F11" s="19"/>
      <c r="G11" s="17"/>
      <c r="H11" s="20"/>
      <c r="I11" s="17"/>
      <c r="J11" s="21"/>
      <c r="K11" s="22"/>
      <c r="L11" s="22"/>
      <c r="M11" s="21"/>
      <c r="N11" s="21"/>
      <c r="O11" s="23"/>
    </row>
    <row r="12" customFormat="false" ht="15" hidden="false" customHeight="true" outlineLevel="0" collapsed="false">
      <c r="A12" s="1"/>
      <c r="B12" s="16"/>
      <c r="C12" s="17"/>
      <c r="D12" s="17"/>
      <c r="E12" s="18"/>
      <c r="F12" s="19"/>
      <c r="G12" s="17"/>
      <c r="H12" s="20"/>
      <c r="I12" s="17"/>
      <c r="J12" s="21"/>
      <c r="K12" s="22"/>
      <c r="L12" s="22"/>
      <c r="M12" s="21"/>
      <c r="N12" s="21"/>
      <c r="O12" s="23"/>
    </row>
    <row r="13" customFormat="false" ht="15" hidden="false" customHeight="false" outlineLevel="0" collapsed="false">
      <c r="A13" s="1"/>
      <c r="B13" s="25"/>
      <c r="C13" s="26"/>
      <c r="D13" s="26"/>
      <c r="E13" s="27"/>
      <c r="F13" s="28"/>
      <c r="G13" s="28"/>
      <c r="H13" s="29"/>
      <c r="I13" s="26"/>
      <c r="J13" s="30"/>
      <c r="K13" s="27"/>
      <c r="L13" s="27"/>
      <c r="M13" s="27"/>
      <c r="N13" s="31"/>
      <c r="O13" s="32"/>
    </row>
    <row r="14" customFormat="false" ht="15" hidden="false" customHeight="false" outlineLevel="0" collapsed="false">
      <c r="A14" s="1"/>
      <c r="B14" s="33"/>
      <c r="C14" s="34"/>
      <c r="D14" s="34"/>
      <c r="E14" s="35" t="n">
        <f aca="false">SUM(E4:E13)</f>
        <v>190.15</v>
      </c>
      <c r="F14" s="34"/>
      <c r="G14" s="34" t="n">
        <f aca="false">SUM(G4:G13)</f>
        <v>2180</v>
      </c>
      <c r="H14" s="35" t="n">
        <f aca="false">SUM(H4:H13)</f>
        <v>141.57</v>
      </c>
      <c r="I14" s="34"/>
      <c r="J14" s="36" t="n">
        <f aca="false">SUM(J4:J13)</f>
        <v>260269.7</v>
      </c>
      <c r="K14" s="35" t="n">
        <f aca="false">SUM(K4:K13)</f>
        <v>161.836</v>
      </c>
      <c r="L14" s="35" t="n">
        <f aca="false">SUM(L4:L13)</f>
        <v>130.27798</v>
      </c>
      <c r="M14" s="36" t="n">
        <f aca="false">SUM(M4:M13)</f>
        <v>1950066.68745</v>
      </c>
      <c r="N14" s="37" t="n">
        <f aca="false">SUM(N4:N13)</f>
        <v>65902.6</v>
      </c>
      <c r="O14" s="38" t="n">
        <f aca="false">SUM(O4:O13)</f>
        <v>2276238.98745</v>
      </c>
      <c r="P14" s="0" t="s">
        <v>23</v>
      </c>
    </row>
    <row r="16" customFormat="false" ht="14.25" hidden="false" customHeight="true" outlineLevel="0" collapsed="false">
      <c r="A16" s="1" t="n">
        <v>2</v>
      </c>
      <c r="B16" s="2" t="s">
        <v>0</v>
      </c>
      <c r="C16" s="3" t="s">
        <v>1</v>
      </c>
      <c r="D16" s="3" t="s">
        <v>2</v>
      </c>
      <c r="E16" s="4" t="s">
        <v>3</v>
      </c>
      <c r="F16" s="9" t="s">
        <v>4</v>
      </c>
      <c r="G16" s="9"/>
      <c r="H16" s="9"/>
      <c r="I16" s="9"/>
      <c r="J16" s="9"/>
      <c r="K16" s="3" t="s">
        <v>5</v>
      </c>
      <c r="L16" s="3" t="s">
        <v>6</v>
      </c>
      <c r="M16" s="4" t="s">
        <v>7</v>
      </c>
      <c r="N16" s="4" t="s">
        <v>8</v>
      </c>
      <c r="O16" s="6" t="s">
        <v>9</v>
      </c>
    </row>
    <row r="17" customFormat="false" ht="14.25" hidden="false" customHeight="false" outlineLevel="0" collapsed="false">
      <c r="A17" s="1"/>
      <c r="B17" s="2"/>
      <c r="C17" s="3"/>
      <c r="D17" s="3"/>
      <c r="E17" s="4"/>
      <c r="F17" s="7" t="s">
        <v>10</v>
      </c>
      <c r="G17" s="7" t="s">
        <v>11</v>
      </c>
      <c r="H17" s="7" t="s">
        <v>12</v>
      </c>
      <c r="I17" s="7" t="s">
        <v>13</v>
      </c>
      <c r="J17" s="7" t="s">
        <v>14</v>
      </c>
      <c r="K17" s="3"/>
      <c r="L17" s="3"/>
      <c r="M17" s="4"/>
      <c r="N17" s="4"/>
      <c r="O17" s="6"/>
    </row>
    <row r="18" customFormat="false" ht="15" hidden="false" customHeight="false" outlineLevel="0" collapsed="false">
      <c r="A18" s="1"/>
      <c r="B18" s="84" t="n">
        <v>1</v>
      </c>
      <c r="C18" s="85"/>
      <c r="D18" s="85"/>
      <c r="E18" s="10" t="n">
        <v>90.39</v>
      </c>
      <c r="F18" s="11" t="s">
        <v>52</v>
      </c>
      <c r="G18" s="9" t="n">
        <v>628</v>
      </c>
      <c r="H18" s="12" t="n">
        <v>4.47</v>
      </c>
      <c r="I18" s="9" t="n">
        <v>10200</v>
      </c>
      <c r="J18" s="13" t="n">
        <f aca="false">I18*H18</f>
        <v>45594</v>
      </c>
      <c r="K18" s="14" t="n">
        <f aca="false">E18-(H18+H19+H20)/5</f>
        <v>66.69</v>
      </c>
      <c r="L18" s="14" t="n">
        <f aca="false">K18*80.5%</f>
        <v>53.68545</v>
      </c>
      <c r="M18" s="13" t="n">
        <f aca="false">L18*14727</f>
        <v>790625.62215</v>
      </c>
      <c r="N18" s="13" t="n">
        <f aca="false">K18*350</f>
        <v>23341.5</v>
      </c>
      <c r="O18" s="15" t="n">
        <f aca="false">N18+J18+M18+J19+J20</f>
        <v>1097718.62215</v>
      </c>
    </row>
    <row r="19" customFormat="false" ht="15" hidden="false" customHeight="false" outlineLevel="0" collapsed="false">
      <c r="A19" s="1"/>
      <c r="B19" s="86" t="s">
        <v>17</v>
      </c>
      <c r="C19" s="7"/>
      <c r="D19" s="7"/>
      <c r="E19" s="39"/>
      <c r="F19" s="40" t="s">
        <v>53</v>
      </c>
      <c r="G19" s="7" t="n">
        <v>108</v>
      </c>
      <c r="H19" s="41" t="n">
        <v>23.96</v>
      </c>
      <c r="I19" s="7" t="n">
        <v>9000</v>
      </c>
      <c r="J19" s="21" t="n">
        <f aca="false">I19*H19</f>
        <v>215640</v>
      </c>
      <c r="K19" s="43"/>
      <c r="L19" s="43"/>
      <c r="M19" s="42"/>
      <c r="N19" s="42"/>
      <c r="O19" s="44"/>
    </row>
    <row r="20" customFormat="false" ht="15" hidden="false" customHeight="false" outlineLevel="0" collapsed="false">
      <c r="A20" s="1"/>
      <c r="B20" s="86"/>
      <c r="C20" s="7"/>
      <c r="D20" s="7"/>
      <c r="E20" s="39"/>
      <c r="F20" s="40" t="s">
        <v>19</v>
      </c>
      <c r="G20" s="7" t="n">
        <v>216</v>
      </c>
      <c r="H20" s="41" t="n">
        <v>90.07</v>
      </c>
      <c r="I20" s="7" t="n">
        <v>250</v>
      </c>
      <c r="J20" s="21" t="n">
        <f aca="false">I20*H20</f>
        <v>22517.5</v>
      </c>
      <c r="K20" s="43"/>
      <c r="L20" s="43"/>
      <c r="M20" s="42"/>
      <c r="N20" s="42"/>
      <c r="O20" s="44"/>
    </row>
    <row r="21" customFormat="false" ht="15" hidden="false" customHeight="false" outlineLevel="0" collapsed="false">
      <c r="A21" s="1"/>
      <c r="B21" s="86"/>
      <c r="C21" s="7"/>
      <c r="D21" s="7"/>
      <c r="E21" s="39"/>
      <c r="F21" s="40"/>
      <c r="G21" s="7"/>
      <c r="H21" s="41"/>
      <c r="I21" s="7"/>
      <c r="J21" s="42"/>
      <c r="K21" s="43"/>
      <c r="L21" s="43"/>
      <c r="M21" s="42"/>
      <c r="N21" s="42"/>
      <c r="O21" s="44"/>
    </row>
    <row r="22" customFormat="false" ht="15" hidden="false" customHeight="false" outlineLevel="0" collapsed="false">
      <c r="A22" s="1"/>
      <c r="B22" s="86"/>
      <c r="C22" s="7"/>
      <c r="D22" s="7"/>
      <c r="E22" s="39"/>
      <c r="F22" s="40"/>
      <c r="G22" s="7"/>
      <c r="H22" s="41"/>
      <c r="I22" s="7"/>
      <c r="J22" s="42"/>
      <c r="K22" s="43"/>
      <c r="L22" s="43"/>
      <c r="M22" s="42"/>
      <c r="N22" s="42"/>
      <c r="O22" s="44"/>
    </row>
    <row r="23" customFormat="false" ht="15" hidden="false" customHeight="false" outlineLevel="0" collapsed="false">
      <c r="A23" s="1"/>
      <c r="B23" s="86" t="n">
        <v>2</v>
      </c>
      <c r="C23" s="7"/>
      <c r="D23" s="7"/>
      <c r="E23" s="24" t="n">
        <v>11.89</v>
      </c>
      <c r="F23" s="19" t="s">
        <v>52</v>
      </c>
      <c r="G23" s="17" t="n">
        <v>6</v>
      </c>
      <c r="H23" s="20" t="n">
        <v>2.08</v>
      </c>
      <c r="I23" s="17" t="n">
        <v>9000</v>
      </c>
      <c r="J23" s="21" t="n">
        <f aca="false">I23*H23</f>
        <v>18720</v>
      </c>
      <c r="K23" s="22" t="n">
        <f aca="false">E23-(H23+H24)/5</f>
        <v>7.464</v>
      </c>
      <c r="L23" s="22" t="n">
        <f aca="false">K23*80.5%</f>
        <v>6.00852</v>
      </c>
      <c r="M23" s="21" t="n">
        <f aca="false">L23*14727</f>
        <v>88487.47404</v>
      </c>
      <c r="N23" s="21" t="n">
        <f aca="false">K23*350</f>
        <v>2612.4</v>
      </c>
      <c r="O23" s="23" t="n">
        <f aca="false">N23+J23+M23+J24</f>
        <v>470719.87404</v>
      </c>
    </row>
    <row r="24" customFormat="false" ht="15" hidden="false" customHeight="false" outlineLevel="0" collapsed="false">
      <c r="A24" s="1"/>
      <c r="B24" s="86" t="s">
        <v>17</v>
      </c>
      <c r="C24" s="7"/>
      <c r="D24" s="7"/>
      <c r="E24" s="18"/>
      <c r="F24" s="19" t="s">
        <v>54</v>
      </c>
      <c r="G24" s="17" t="n">
        <v>2</v>
      </c>
      <c r="H24" s="20" t="n">
        <v>20.05</v>
      </c>
      <c r="I24" s="17" t="n">
        <v>18000</v>
      </c>
      <c r="J24" s="21" t="n">
        <f aca="false">I24*H24</f>
        <v>360900</v>
      </c>
      <c r="K24" s="22"/>
      <c r="L24" s="22"/>
      <c r="M24" s="21"/>
      <c r="N24" s="21"/>
      <c r="O24" s="23"/>
    </row>
    <row r="25" customFormat="false" ht="15" hidden="false" customHeight="false" outlineLevel="0" collapsed="false">
      <c r="A25" s="1"/>
      <c r="B25" s="86"/>
      <c r="C25" s="7"/>
      <c r="D25" s="7"/>
      <c r="E25" s="18"/>
      <c r="F25" s="19"/>
      <c r="G25" s="17"/>
      <c r="H25" s="20"/>
      <c r="I25" s="17"/>
      <c r="J25" s="21"/>
      <c r="K25" s="22"/>
      <c r="L25" s="22"/>
      <c r="M25" s="21"/>
      <c r="N25" s="21"/>
      <c r="O25" s="23"/>
    </row>
    <row r="26" customFormat="false" ht="15" hidden="false" customHeight="false" outlineLevel="0" collapsed="false">
      <c r="A26" s="1"/>
      <c r="B26" s="86"/>
      <c r="C26" s="7"/>
      <c r="D26" s="7"/>
      <c r="E26" s="18"/>
      <c r="F26" s="19"/>
      <c r="G26" s="17"/>
      <c r="H26" s="20"/>
      <c r="I26" s="17"/>
      <c r="J26" s="21"/>
      <c r="K26" s="22"/>
      <c r="L26" s="22"/>
      <c r="M26" s="21"/>
      <c r="N26" s="21"/>
      <c r="O26" s="23"/>
    </row>
    <row r="27" customFormat="false" ht="15" hidden="false" customHeight="false" outlineLevel="0" collapsed="false">
      <c r="A27" s="1"/>
      <c r="B27" s="25"/>
      <c r="C27" s="26"/>
      <c r="D27" s="26"/>
      <c r="E27" s="27"/>
      <c r="F27" s="28"/>
      <c r="G27" s="28"/>
      <c r="H27" s="29"/>
      <c r="I27" s="26"/>
      <c r="J27" s="30"/>
      <c r="K27" s="27"/>
      <c r="L27" s="27"/>
      <c r="M27" s="27"/>
      <c r="N27" s="31"/>
      <c r="O27" s="32"/>
    </row>
    <row r="28" customFormat="false" ht="15" hidden="false" customHeight="false" outlineLevel="0" collapsed="false">
      <c r="A28" s="1"/>
      <c r="B28" s="33"/>
      <c r="C28" s="34"/>
      <c r="D28" s="34"/>
      <c r="E28" s="35" t="n">
        <f aca="false">SUM(E18:E27)</f>
        <v>102.28</v>
      </c>
      <c r="F28" s="34"/>
      <c r="G28" s="34" t="n">
        <f aca="false">SUM(G18:G27)</f>
        <v>960</v>
      </c>
      <c r="H28" s="35" t="n">
        <f aca="false">SUM(H18:H27)</f>
        <v>140.63</v>
      </c>
      <c r="I28" s="34"/>
      <c r="J28" s="36" t="n">
        <f aca="false">SUM(J18:J27)</f>
        <v>663371.5</v>
      </c>
      <c r="K28" s="35" t="n">
        <f aca="false">SUM(K18:K27)</f>
        <v>74.154</v>
      </c>
      <c r="L28" s="35" t="n">
        <f aca="false">SUM(L18:L27)</f>
        <v>59.69397</v>
      </c>
      <c r="M28" s="36" t="n">
        <f aca="false">SUM(M18:M27)</f>
        <v>879113.09619</v>
      </c>
      <c r="N28" s="37" t="n">
        <f aca="false">SUM(N18:N27)</f>
        <v>25953.9</v>
      </c>
      <c r="O28" s="38" t="n">
        <f aca="false">SUM(O18:O27)</f>
        <v>1568438.49619</v>
      </c>
      <c r="P28" s="0" t="s">
        <v>23</v>
      </c>
    </row>
    <row r="30" customFormat="false" ht="14.25" hidden="false" customHeight="true" outlineLevel="0" collapsed="false">
      <c r="A30" s="1" t="n">
        <v>3</v>
      </c>
      <c r="B30" s="2" t="s">
        <v>0</v>
      </c>
      <c r="C30" s="3" t="s">
        <v>1</v>
      </c>
      <c r="D30" s="3" t="s">
        <v>2</v>
      </c>
      <c r="E30" s="4" t="s">
        <v>3</v>
      </c>
      <c r="F30" s="9" t="s">
        <v>4</v>
      </c>
      <c r="G30" s="9"/>
      <c r="H30" s="9"/>
      <c r="I30" s="9"/>
      <c r="J30" s="9"/>
      <c r="K30" s="3" t="s">
        <v>5</v>
      </c>
      <c r="L30" s="3" t="s">
        <v>6</v>
      </c>
      <c r="M30" s="4" t="s">
        <v>7</v>
      </c>
      <c r="N30" s="4" t="s">
        <v>8</v>
      </c>
      <c r="O30" s="6" t="s">
        <v>9</v>
      </c>
    </row>
    <row r="31" customFormat="false" ht="14.25" hidden="false" customHeight="false" outlineLevel="0" collapsed="false">
      <c r="A31" s="1"/>
      <c r="B31" s="2"/>
      <c r="C31" s="3"/>
      <c r="D31" s="3"/>
      <c r="E31" s="4"/>
      <c r="F31" s="7" t="s">
        <v>10</v>
      </c>
      <c r="G31" s="7" t="s">
        <v>11</v>
      </c>
      <c r="H31" s="7" t="s">
        <v>12</v>
      </c>
      <c r="I31" s="7" t="s">
        <v>13</v>
      </c>
      <c r="J31" s="7" t="s">
        <v>14</v>
      </c>
      <c r="K31" s="3"/>
      <c r="L31" s="3"/>
      <c r="M31" s="4"/>
      <c r="N31" s="4"/>
      <c r="O31" s="6"/>
    </row>
    <row r="32" customFormat="false" ht="15" hidden="false" customHeight="false" outlineLevel="0" collapsed="false">
      <c r="A32" s="1"/>
      <c r="B32" s="8" t="n">
        <v>1</v>
      </c>
      <c r="C32" s="9" t="s">
        <v>55</v>
      </c>
      <c r="D32" s="9"/>
      <c r="E32" s="10" t="n">
        <v>20.05</v>
      </c>
      <c r="F32" s="11" t="s">
        <v>16</v>
      </c>
      <c r="G32" s="9" t="n">
        <v>340</v>
      </c>
      <c r="H32" s="51" t="n">
        <v>1.61</v>
      </c>
      <c r="I32" s="9" t="n">
        <v>40000</v>
      </c>
      <c r="J32" s="13" t="n">
        <f aca="false">I32*H32</f>
        <v>64400</v>
      </c>
      <c r="K32" s="14" t="n">
        <f aca="false">E32-(H32+H33+H34+H35)/5</f>
        <v>19.44</v>
      </c>
      <c r="L32" s="14" t="n">
        <f aca="false">K32*80.5%</f>
        <v>15.6492</v>
      </c>
      <c r="M32" s="13" t="n">
        <f aca="false">L32*14920</f>
        <v>233486.064</v>
      </c>
      <c r="N32" s="13" t="n">
        <f aca="false">K32*350</f>
        <v>6804</v>
      </c>
      <c r="O32" s="15" t="n">
        <f aca="false">N32+M32+J32+J33</f>
        <v>362290.064</v>
      </c>
    </row>
    <row r="33" customFormat="false" ht="15" hidden="false" customHeight="false" outlineLevel="0" collapsed="false">
      <c r="A33" s="1"/>
      <c r="B33" s="16" t="s">
        <v>17</v>
      </c>
      <c r="C33" s="17"/>
      <c r="D33" s="17"/>
      <c r="E33" s="18"/>
      <c r="F33" s="19" t="s">
        <v>16</v>
      </c>
      <c r="G33" s="17" t="n">
        <v>139</v>
      </c>
      <c r="H33" s="81" t="n">
        <v>1.44</v>
      </c>
      <c r="I33" s="17" t="n">
        <v>40000</v>
      </c>
      <c r="J33" s="21" t="n">
        <f aca="false">I33*H33</f>
        <v>57600</v>
      </c>
      <c r="K33" s="22"/>
      <c r="L33" s="22"/>
      <c r="M33" s="21"/>
      <c r="N33" s="21"/>
      <c r="O33" s="23"/>
    </row>
    <row r="34" customFormat="false" ht="15" hidden="false" customHeight="false" outlineLevel="0" collapsed="false">
      <c r="A34" s="1"/>
      <c r="B34" s="16"/>
      <c r="C34" s="17"/>
      <c r="D34" s="17"/>
      <c r="E34" s="18"/>
      <c r="F34" s="19"/>
      <c r="G34" s="17"/>
      <c r="H34" s="81"/>
      <c r="I34" s="17"/>
      <c r="J34" s="21"/>
      <c r="K34" s="22"/>
      <c r="L34" s="22"/>
      <c r="M34" s="21"/>
      <c r="N34" s="21"/>
      <c r="O34" s="23"/>
    </row>
    <row r="35" customFormat="false" ht="15" hidden="false" customHeight="false" outlineLevel="0" collapsed="false">
      <c r="A35" s="1"/>
      <c r="B35" s="16"/>
      <c r="C35" s="17"/>
      <c r="D35" s="17"/>
      <c r="E35" s="18"/>
      <c r="F35" s="19"/>
      <c r="G35" s="17"/>
      <c r="H35" s="81"/>
      <c r="I35" s="17"/>
      <c r="J35" s="21"/>
      <c r="K35" s="22"/>
      <c r="L35" s="22"/>
      <c r="M35" s="21"/>
      <c r="N35" s="21"/>
      <c r="O35" s="23"/>
    </row>
    <row r="36" customFormat="false" ht="15" hidden="false" customHeight="false" outlineLevel="0" collapsed="false">
      <c r="A36" s="1"/>
      <c r="B36" s="16" t="n">
        <v>2</v>
      </c>
      <c r="C36" s="17"/>
      <c r="D36" s="83"/>
      <c r="E36" s="24" t="n">
        <v>25.57</v>
      </c>
      <c r="F36" s="19" t="s">
        <v>16</v>
      </c>
      <c r="G36" s="17" t="n">
        <v>711</v>
      </c>
      <c r="H36" s="81" t="n">
        <v>3.27</v>
      </c>
      <c r="I36" s="17" t="n">
        <v>40000</v>
      </c>
      <c r="J36" s="21" t="n">
        <f aca="false">I36*H36</f>
        <v>130800</v>
      </c>
      <c r="K36" s="22" t="n">
        <f aca="false">E36-(H36+H37)/5</f>
        <v>24.874</v>
      </c>
      <c r="L36" s="22" t="n">
        <f aca="false">K36*80.5%</f>
        <v>20.02357</v>
      </c>
      <c r="M36" s="21" t="n">
        <f aca="false">L36*14920</f>
        <v>298751.6644</v>
      </c>
      <c r="N36" s="21" t="n">
        <f aca="false">K36*350</f>
        <v>8705.9</v>
      </c>
      <c r="O36" s="23" t="n">
        <f aca="false">N36+J36+M36+J37</f>
        <v>446657.5644</v>
      </c>
    </row>
    <row r="37" customFormat="false" ht="15" hidden="false" customHeight="false" outlineLevel="0" collapsed="false">
      <c r="A37" s="1"/>
      <c r="B37" s="16" t="s">
        <v>17</v>
      </c>
      <c r="C37" s="17"/>
      <c r="D37" s="83"/>
      <c r="E37" s="18"/>
      <c r="F37" s="19" t="s">
        <v>16</v>
      </c>
      <c r="G37" s="17" t="n">
        <v>19</v>
      </c>
      <c r="H37" s="81" t="n">
        <v>0.21</v>
      </c>
      <c r="I37" s="17" t="n">
        <v>40000</v>
      </c>
      <c r="J37" s="21" t="n">
        <f aca="false">I37*H37</f>
        <v>8400</v>
      </c>
      <c r="K37" s="22"/>
      <c r="L37" s="22"/>
      <c r="M37" s="21"/>
      <c r="N37" s="21"/>
      <c r="O37" s="23"/>
    </row>
    <row r="38" customFormat="false" ht="15" hidden="false" customHeight="false" outlineLevel="0" collapsed="false">
      <c r="A38" s="1"/>
      <c r="B38" s="16"/>
      <c r="C38" s="17"/>
      <c r="D38" s="83"/>
      <c r="E38" s="18"/>
      <c r="F38" s="19"/>
      <c r="G38" s="17"/>
      <c r="H38" s="20"/>
      <c r="I38" s="17"/>
      <c r="J38" s="21"/>
      <c r="K38" s="22"/>
      <c r="L38" s="22"/>
      <c r="M38" s="21"/>
      <c r="N38" s="21"/>
      <c r="O38" s="23"/>
    </row>
    <row r="39" customFormat="false" ht="15" hidden="false" customHeight="false" outlineLevel="0" collapsed="false">
      <c r="A39" s="1"/>
      <c r="B39" s="16"/>
      <c r="C39" s="17"/>
      <c r="D39" s="83"/>
      <c r="E39" s="18"/>
      <c r="F39" s="19"/>
      <c r="G39" s="17"/>
      <c r="H39" s="20"/>
      <c r="I39" s="17"/>
      <c r="J39" s="21"/>
      <c r="K39" s="22"/>
      <c r="L39" s="22"/>
      <c r="M39" s="21"/>
      <c r="N39" s="21"/>
      <c r="O39" s="23"/>
    </row>
    <row r="40" customFormat="false" ht="15" hidden="false" customHeight="false" outlineLevel="0" collapsed="false">
      <c r="A40" s="1"/>
      <c r="B40" s="16" t="n">
        <v>3</v>
      </c>
      <c r="C40" s="17"/>
      <c r="D40" s="83"/>
      <c r="E40" s="24" t="n">
        <v>25.22</v>
      </c>
      <c r="F40" s="19" t="s">
        <v>16</v>
      </c>
      <c r="G40" s="17" t="n">
        <v>555</v>
      </c>
      <c r="H40" s="81" t="n">
        <v>2.39</v>
      </c>
      <c r="I40" s="17" t="n">
        <v>40000</v>
      </c>
      <c r="J40" s="21" t="n">
        <f aca="false">I40*H40</f>
        <v>95600</v>
      </c>
      <c r="K40" s="22" t="n">
        <f aca="false">E40-(H40+H41)/5</f>
        <v>24.616</v>
      </c>
      <c r="L40" s="22" t="n">
        <f aca="false">K40*80.5%</f>
        <v>19.81588</v>
      </c>
      <c r="M40" s="21" t="n">
        <f aca="false">L40*14920</f>
        <v>295652.9296</v>
      </c>
      <c r="N40" s="21" t="n">
        <f aca="false">K40*350</f>
        <v>8615.6</v>
      </c>
      <c r="O40" s="23" t="n">
        <f aca="false">N40+J40+M40+J41</f>
        <v>425068.5296</v>
      </c>
    </row>
    <row r="41" customFormat="false" ht="15" hidden="false" customHeight="false" outlineLevel="0" collapsed="false">
      <c r="A41" s="1"/>
      <c r="B41" s="16" t="s">
        <v>17</v>
      </c>
      <c r="C41" s="17"/>
      <c r="D41" s="83"/>
      <c r="E41" s="18"/>
      <c r="F41" s="19" t="s">
        <v>16</v>
      </c>
      <c r="G41" s="17" t="n">
        <v>48</v>
      </c>
      <c r="H41" s="81" t="n">
        <v>0.63</v>
      </c>
      <c r="I41" s="17" t="n">
        <v>40000</v>
      </c>
      <c r="J41" s="21" t="n">
        <f aca="false">I41*H41</f>
        <v>25200</v>
      </c>
      <c r="K41" s="22"/>
      <c r="L41" s="22"/>
      <c r="M41" s="21"/>
      <c r="N41" s="21"/>
      <c r="O41" s="23"/>
    </row>
    <row r="42" customFormat="false" ht="15" hidden="false" customHeight="false" outlineLevel="0" collapsed="false">
      <c r="A42" s="1"/>
      <c r="B42" s="16"/>
      <c r="C42" s="17"/>
      <c r="D42" s="83"/>
      <c r="E42" s="18"/>
      <c r="F42" s="19"/>
      <c r="G42" s="17"/>
      <c r="H42" s="20"/>
      <c r="I42" s="17"/>
      <c r="J42" s="21"/>
      <c r="K42" s="22"/>
      <c r="L42" s="22"/>
      <c r="M42" s="21"/>
      <c r="N42" s="21"/>
      <c r="O42" s="23"/>
    </row>
    <row r="43" customFormat="false" ht="15" hidden="false" customHeight="false" outlineLevel="0" collapsed="false">
      <c r="A43" s="1"/>
      <c r="B43" s="16"/>
      <c r="C43" s="17"/>
      <c r="D43" s="83"/>
      <c r="E43" s="18"/>
      <c r="F43" s="19"/>
      <c r="G43" s="17"/>
      <c r="H43" s="20"/>
      <c r="I43" s="17"/>
      <c r="J43" s="21"/>
      <c r="K43" s="22"/>
      <c r="L43" s="22"/>
      <c r="M43" s="21"/>
      <c r="N43" s="21"/>
      <c r="O43" s="23"/>
    </row>
    <row r="44" customFormat="false" ht="15" hidden="false" customHeight="false" outlineLevel="0" collapsed="false">
      <c r="A44" s="1"/>
      <c r="B44" s="25"/>
      <c r="C44" s="26"/>
      <c r="D44" s="26"/>
      <c r="E44" s="27"/>
      <c r="F44" s="28"/>
      <c r="G44" s="28"/>
      <c r="H44" s="29"/>
      <c r="I44" s="26"/>
      <c r="J44" s="30"/>
      <c r="K44" s="27"/>
      <c r="L44" s="27"/>
      <c r="M44" s="27"/>
      <c r="N44" s="31"/>
      <c r="O44" s="32"/>
    </row>
    <row r="45" customFormat="false" ht="15" hidden="false" customHeight="false" outlineLevel="0" collapsed="false">
      <c r="A45" s="1"/>
      <c r="B45" s="33"/>
      <c r="C45" s="34"/>
      <c r="D45" s="34"/>
      <c r="E45" s="35" t="n">
        <f aca="false">SUM(E32:E44)</f>
        <v>70.84</v>
      </c>
      <c r="F45" s="34"/>
      <c r="G45" s="34" t="n">
        <f aca="false">SUM(G32:G44)</f>
        <v>1812</v>
      </c>
      <c r="H45" s="35" t="n">
        <f aca="false">SUM(H32:H44)</f>
        <v>9.55</v>
      </c>
      <c r="I45" s="34"/>
      <c r="J45" s="36" t="n">
        <f aca="false">SUM(J32:J44)</f>
        <v>382000</v>
      </c>
      <c r="K45" s="35" t="n">
        <f aca="false">SUM(K32:K44)</f>
        <v>68.93</v>
      </c>
      <c r="L45" s="35" t="n">
        <f aca="false">SUM(L32:L44)</f>
        <v>55.48865</v>
      </c>
      <c r="M45" s="36" t="n">
        <f aca="false">SUM(M32:M44)</f>
        <v>827890.658</v>
      </c>
      <c r="N45" s="37" t="n">
        <f aca="false">SUM(N32:N44)</f>
        <v>24125.5</v>
      </c>
      <c r="O45" s="38" t="n">
        <f aca="false">SUM(O32:O44)</f>
        <v>1234016.158</v>
      </c>
      <c r="P45" s="0" t="s">
        <v>23</v>
      </c>
      <c r="Q45" s="0" t="s">
        <v>24</v>
      </c>
    </row>
    <row r="47" customFormat="false" ht="14.25" hidden="false" customHeight="true" outlineLevel="0" collapsed="false">
      <c r="A47" s="1" t="n">
        <v>4</v>
      </c>
      <c r="B47" s="2" t="s">
        <v>0</v>
      </c>
      <c r="C47" s="3" t="s">
        <v>1</v>
      </c>
      <c r="D47" s="3" t="s">
        <v>2</v>
      </c>
      <c r="E47" s="4" t="s">
        <v>3</v>
      </c>
      <c r="F47" s="9" t="s">
        <v>4</v>
      </c>
      <c r="G47" s="9"/>
      <c r="H47" s="9"/>
      <c r="I47" s="9"/>
      <c r="J47" s="9"/>
      <c r="K47" s="3" t="s">
        <v>5</v>
      </c>
      <c r="L47" s="3" t="s">
        <v>6</v>
      </c>
      <c r="M47" s="4" t="s">
        <v>7</v>
      </c>
      <c r="N47" s="4" t="s">
        <v>8</v>
      </c>
      <c r="O47" s="6" t="s">
        <v>9</v>
      </c>
    </row>
    <row r="48" customFormat="false" ht="14.25" hidden="false" customHeight="false" outlineLevel="0" collapsed="false">
      <c r="A48" s="1"/>
      <c r="B48" s="2"/>
      <c r="C48" s="3"/>
      <c r="D48" s="3"/>
      <c r="E48" s="4"/>
      <c r="F48" s="7" t="s">
        <v>10</v>
      </c>
      <c r="G48" s="7" t="s">
        <v>11</v>
      </c>
      <c r="H48" s="7" t="s">
        <v>12</v>
      </c>
      <c r="I48" s="7" t="s">
        <v>13</v>
      </c>
      <c r="J48" s="7" t="s">
        <v>14</v>
      </c>
      <c r="K48" s="3"/>
      <c r="L48" s="3"/>
      <c r="M48" s="4"/>
      <c r="N48" s="4"/>
      <c r="O48" s="6"/>
    </row>
    <row r="49" customFormat="false" ht="15" hidden="false" customHeight="false" outlineLevel="0" collapsed="false">
      <c r="A49" s="1"/>
      <c r="B49" s="8" t="n">
        <v>1</v>
      </c>
      <c r="C49" s="9" t="s">
        <v>56</v>
      </c>
      <c r="D49" s="9"/>
      <c r="E49" s="10" t="n">
        <v>14.18</v>
      </c>
      <c r="F49" s="11" t="s">
        <v>16</v>
      </c>
      <c r="G49" s="9" t="n">
        <v>82</v>
      </c>
      <c r="H49" s="51" t="n">
        <v>5.54</v>
      </c>
      <c r="I49" s="9" t="n">
        <v>42000</v>
      </c>
      <c r="J49" s="13" t="n">
        <f aca="false">I49*H49</f>
        <v>232680</v>
      </c>
      <c r="K49" s="14" t="n">
        <f aca="false">E49-(H49+H50+H51)/5</f>
        <v>13.072</v>
      </c>
      <c r="L49" s="14" t="n">
        <f aca="false">K49*80.5%</f>
        <v>10.52296</v>
      </c>
      <c r="M49" s="13" t="n">
        <f aca="false">L49*14933</f>
        <v>157139.36168</v>
      </c>
      <c r="N49" s="13" t="n">
        <f aca="false">K49*350</f>
        <v>4575.2</v>
      </c>
      <c r="O49" s="15" t="n">
        <f aca="false">N49+M49+J49+J50</f>
        <v>394394.56168</v>
      </c>
    </row>
    <row r="50" customFormat="false" ht="15" hidden="false" customHeight="false" outlineLevel="0" collapsed="false">
      <c r="A50" s="1"/>
      <c r="B50" s="16" t="s">
        <v>17</v>
      </c>
      <c r="C50" s="17"/>
      <c r="D50" s="17"/>
      <c r="E50" s="18"/>
      <c r="F50" s="19"/>
      <c r="G50" s="17"/>
      <c r="H50" s="81"/>
      <c r="I50" s="17"/>
      <c r="J50" s="21"/>
      <c r="K50" s="22"/>
      <c r="L50" s="22"/>
      <c r="M50" s="21"/>
      <c r="N50" s="21"/>
      <c r="O50" s="23"/>
    </row>
    <row r="51" customFormat="false" ht="15" hidden="false" customHeight="false" outlineLevel="0" collapsed="false">
      <c r="A51" s="1"/>
      <c r="B51" s="16"/>
      <c r="C51" s="17"/>
      <c r="D51" s="17"/>
      <c r="E51" s="18"/>
      <c r="F51" s="19"/>
      <c r="G51" s="17"/>
      <c r="H51" s="81"/>
      <c r="I51" s="17"/>
      <c r="J51" s="21"/>
      <c r="K51" s="22"/>
      <c r="L51" s="22"/>
      <c r="M51" s="21"/>
      <c r="N51" s="21"/>
      <c r="O51" s="23"/>
    </row>
    <row r="52" customFormat="false" ht="15" hidden="false" customHeight="false" outlineLevel="0" collapsed="false">
      <c r="A52" s="1"/>
      <c r="B52" s="16" t="n">
        <v>2</v>
      </c>
      <c r="C52" s="17"/>
      <c r="D52" s="17"/>
      <c r="E52" s="24" t="n">
        <v>45.28</v>
      </c>
      <c r="F52" s="19" t="s">
        <v>16</v>
      </c>
      <c r="G52" s="17" t="n">
        <v>793</v>
      </c>
      <c r="H52" s="81" t="n">
        <v>2.66</v>
      </c>
      <c r="I52" s="17" t="n">
        <v>40000</v>
      </c>
      <c r="J52" s="21" t="n">
        <f aca="false">I52*H52</f>
        <v>106400</v>
      </c>
      <c r="K52" s="22" t="n">
        <f aca="false">E52-(H52+H53+H54+H55+H56+H57)/5</f>
        <v>35.052</v>
      </c>
      <c r="L52" s="22" t="n">
        <f aca="false">K52*80.5%</f>
        <v>28.21686</v>
      </c>
      <c r="M52" s="21" t="n">
        <f aca="false">L52*14933</f>
        <v>421362.37038</v>
      </c>
      <c r="N52" s="21" t="n">
        <f aca="false">K52*350</f>
        <v>12268.2</v>
      </c>
      <c r="O52" s="23" t="n">
        <f aca="false">N52+M52+J52+J53+J54+J55+J56+J57</f>
        <v>625921.67038</v>
      </c>
    </row>
    <row r="53" customFormat="false" ht="15" hidden="false" customHeight="false" outlineLevel="0" collapsed="false">
      <c r="A53" s="1"/>
      <c r="B53" s="16" t="s">
        <v>17</v>
      </c>
      <c r="C53" s="17"/>
      <c r="D53" s="17"/>
      <c r="E53" s="18"/>
      <c r="F53" s="19" t="s">
        <v>16</v>
      </c>
      <c r="G53" s="17" t="n">
        <v>141</v>
      </c>
      <c r="H53" s="81" t="n">
        <v>2</v>
      </c>
      <c r="I53" s="17" t="n">
        <v>40000</v>
      </c>
      <c r="J53" s="21" t="n">
        <f aca="false">I53*H53</f>
        <v>80000</v>
      </c>
      <c r="K53" s="22"/>
      <c r="L53" s="22"/>
      <c r="M53" s="21"/>
      <c r="N53" s="21"/>
      <c r="O53" s="23"/>
    </row>
    <row r="54" customFormat="false" ht="15" hidden="false" customHeight="false" outlineLevel="0" collapsed="false">
      <c r="A54" s="1"/>
      <c r="B54" s="16"/>
      <c r="C54" s="17"/>
      <c r="D54" s="17"/>
      <c r="E54" s="18"/>
      <c r="F54" s="19" t="s">
        <v>18</v>
      </c>
      <c r="G54" s="17" t="n">
        <v>6</v>
      </c>
      <c r="H54" s="45" t="n">
        <v>2.69</v>
      </c>
      <c r="I54" s="17" t="n">
        <v>180</v>
      </c>
      <c r="J54" s="21" t="n">
        <f aca="false">I54*H54</f>
        <v>484.2</v>
      </c>
      <c r="K54" s="22"/>
      <c r="L54" s="22"/>
      <c r="M54" s="21"/>
      <c r="N54" s="21"/>
      <c r="O54" s="23"/>
    </row>
    <row r="55" customFormat="false" ht="15" hidden="false" customHeight="false" outlineLevel="0" collapsed="false">
      <c r="A55" s="1"/>
      <c r="B55" s="16"/>
      <c r="C55" s="17"/>
      <c r="D55" s="17"/>
      <c r="E55" s="18"/>
      <c r="F55" s="19" t="s">
        <v>19</v>
      </c>
      <c r="G55" s="17" t="n">
        <v>6</v>
      </c>
      <c r="H55" s="45" t="n">
        <v>2.48</v>
      </c>
      <c r="I55" s="17" t="n">
        <v>180</v>
      </c>
      <c r="J55" s="21" t="n">
        <f aca="false">I55*H55</f>
        <v>446.4</v>
      </c>
      <c r="K55" s="22"/>
      <c r="L55" s="22"/>
      <c r="M55" s="21"/>
      <c r="N55" s="21"/>
      <c r="O55" s="23"/>
    </row>
    <row r="56" customFormat="false" ht="15" hidden="false" customHeight="false" outlineLevel="0" collapsed="false">
      <c r="A56" s="1"/>
      <c r="B56" s="16"/>
      <c r="C56" s="17"/>
      <c r="D56" s="83"/>
      <c r="E56" s="18"/>
      <c r="F56" s="19" t="s">
        <v>20</v>
      </c>
      <c r="G56" s="17" t="n">
        <v>18</v>
      </c>
      <c r="H56" s="20" t="n">
        <v>24.72</v>
      </c>
      <c r="I56" s="17" t="n">
        <v>100</v>
      </c>
      <c r="J56" s="21" t="n">
        <f aca="false">I56*H56</f>
        <v>2472</v>
      </c>
      <c r="K56" s="22"/>
      <c r="L56" s="22"/>
      <c r="M56" s="21"/>
      <c r="N56" s="21"/>
      <c r="O56" s="23"/>
    </row>
    <row r="57" customFormat="false" ht="15" hidden="false" customHeight="false" outlineLevel="0" collapsed="false">
      <c r="A57" s="1"/>
      <c r="B57" s="16"/>
      <c r="C57" s="17"/>
      <c r="D57" s="83"/>
      <c r="E57" s="18"/>
      <c r="F57" s="19" t="s">
        <v>20</v>
      </c>
      <c r="G57" s="17" t="n">
        <v>2</v>
      </c>
      <c r="H57" s="20" t="n">
        <v>16.59</v>
      </c>
      <c r="I57" s="17" t="n">
        <v>150</v>
      </c>
      <c r="J57" s="21" t="n">
        <f aca="false">I57*H57</f>
        <v>2488.5</v>
      </c>
      <c r="K57" s="22"/>
      <c r="L57" s="22"/>
      <c r="M57" s="21"/>
      <c r="N57" s="21"/>
      <c r="O57" s="23"/>
    </row>
    <row r="58" customFormat="false" ht="15" hidden="false" customHeight="false" outlineLevel="0" collapsed="false">
      <c r="A58" s="1"/>
      <c r="B58" s="16"/>
      <c r="C58" s="17"/>
      <c r="D58" s="83"/>
      <c r="E58" s="18"/>
      <c r="F58" s="19"/>
      <c r="G58" s="17"/>
      <c r="H58" s="20"/>
      <c r="I58" s="17"/>
      <c r="J58" s="21"/>
      <c r="K58" s="22"/>
      <c r="L58" s="22"/>
      <c r="M58" s="21"/>
      <c r="N58" s="21"/>
      <c r="O58" s="23"/>
    </row>
    <row r="59" customFormat="false" ht="15" hidden="false" customHeight="false" outlineLevel="0" collapsed="false">
      <c r="A59" s="1"/>
      <c r="B59" s="16" t="n">
        <v>3</v>
      </c>
      <c r="C59" s="17"/>
      <c r="D59" s="83"/>
      <c r="E59" s="24" t="n">
        <v>10.38</v>
      </c>
      <c r="F59" s="19" t="s">
        <v>16</v>
      </c>
      <c r="G59" s="17" t="n">
        <v>152</v>
      </c>
      <c r="H59" s="81" t="n">
        <v>0.77</v>
      </c>
      <c r="I59" s="17" t="n">
        <v>40000</v>
      </c>
      <c r="J59" s="21" t="n">
        <f aca="false">I59*H59</f>
        <v>30800</v>
      </c>
      <c r="K59" s="22" t="n">
        <f aca="false">E59-(H59)/5-K60</f>
        <v>4.696</v>
      </c>
      <c r="L59" s="22" t="n">
        <f aca="false">K59*80.5%</f>
        <v>3.78028</v>
      </c>
      <c r="M59" s="21" t="n">
        <f aca="false">L59*14933</f>
        <v>56450.92124</v>
      </c>
      <c r="N59" s="21" t="n">
        <f aca="false">K59*350</f>
        <v>1643.6</v>
      </c>
      <c r="O59" s="23" t="n">
        <f aca="false">N59+M59+J59+J60+M60</f>
        <v>157435.49794</v>
      </c>
      <c r="R59" s="61"/>
    </row>
    <row r="60" customFormat="false" ht="15" hidden="false" customHeight="false" outlineLevel="0" collapsed="false">
      <c r="A60" s="1"/>
      <c r="B60" s="16" t="s">
        <v>17</v>
      </c>
      <c r="C60" s="17"/>
      <c r="D60" s="83"/>
      <c r="E60" s="18"/>
      <c r="F60" s="19"/>
      <c r="G60" s="17"/>
      <c r="H60" s="20"/>
      <c r="I60" s="17"/>
      <c r="J60" s="21"/>
      <c r="K60" s="22" t="n">
        <v>5.53</v>
      </c>
      <c r="L60" s="22" t="n">
        <f aca="false">K60*83%</f>
        <v>4.5899</v>
      </c>
      <c r="M60" s="21" t="n">
        <f aca="false">L60*14933</f>
        <v>68540.9767</v>
      </c>
      <c r="N60" s="21"/>
      <c r="O60" s="23"/>
    </row>
    <row r="61" customFormat="false" ht="15" hidden="false" customHeight="false" outlineLevel="0" collapsed="false">
      <c r="A61" s="1"/>
      <c r="B61" s="16"/>
      <c r="C61" s="17"/>
      <c r="D61" s="83"/>
      <c r="E61" s="18"/>
      <c r="F61" s="19"/>
      <c r="G61" s="17"/>
      <c r="H61" s="20"/>
      <c r="I61" s="17"/>
      <c r="J61" s="21"/>
      <c r="K61" s="22"/>
      <c r="L61" s="22"/>
      <c r="M61" s="21"/>
      <c r="N61" s="21"/>
      <c r="O61" s="23"/>
    </row>
    <row r="62" customFormat="false" ht="15" hidden="false" customHeight="false" outlineLevel="0" collapsed="false">
      <c r="A62" s="1"/>
      <c r="B62" s="25"/>
      <c r="C62" s="26"/>
      <c r="D62" s="26"/>
      <c r="E62" s="27"/>
      <c r="F62" s="28"/>
      <c r="G62" s="28"/>
      <c r="H62" s="29"/>
      <c r="I62" s="26"/>
      <c r="J62" s="30"/>
      <c r="K62" s="27"/>
      <c r="L62" s="27"/>
      <c r="M62" s="27"/>
      <c r="N62" s="31"/>
      <c r="O62" s="32"/>
    </row>
    <row r="63" customFormat="false" ht="15" hidden="false" customHeight="false" outlineLevel="0" collapsed="false">
      <c r="A63" s="1"/>
      <c r="B63" s="33"/>
      <c r="C63" s="34"/>
      <c r="D63" s="34"/>
      <c r="E63" s="35" t="n">
        <f aca="false">SUM(E49:E62)</f>
        <v>69.84</v>
      </c>
      <c r="F63" s="34"/>
      <c r="G63" s="34" t="n">
        <f aca="false">SUM(G49:G62)</f>
        <v>1200</v>
      </c>
      <c r="H63" s="35" t="n">
        <f aca="false">SUM(H49:H62)</f>
        <v>57.45</v>
      </c>
      <c r="I63" s="34"/>
      <c r="J63" s="36" t="n">
        <f aca="false">SUM(J49:J62)</f>
        <v>455771.1</v>
      </c>
      <c r="K63" s="35" t="n">
        <f aca="false">SUM(K49:K62)</f>
        <v>58.35</v>
      </c>
      <c r="L63" s="35" t="n">
        <f aca="false">SUM(L49:L62)</f>
        <v>47.11</v>
      </c>
      <c r="M63" s="36" t="n">
        <f aca="false">SUM(M49:M62)</f>
        <v>703493.63</v>
      </c>
      <c r="N63" s="37" t="n">
        <f aca="false">SUM(N49:N62)</f>
        <v>18487</v>
      </c>
      <c r="O63" s="38" t="n">
        <f aca="false">SUM(O49:O62)</f>
        <v>1177751.73</v>
      </c>
      <c r="P63" s="0" t="s">
        <v>23</v>
      </c>
      <c r="Q63" s="0" t="s">
        <v>26</v>
      </c>
    </row>
    <row r="65" customFormat="false" ht="14.25" hidden="false" customHeight="true" outlineLevel="0" collapsed="false">
      <c r="A65" s="1" t="n">
        <v>5</v>
      </c>
      <c r="B65" s="2" t="s">
        <v>0</v>
      </c>
      <c r="C65" s="3" t="s">
        <v>1</v>
      </c>
      <c r="D65" s="3" t="s">
        <v>2</v>
      </c>
      <c r="E65" s="4" t="s">
        <v>3</v>
      </c>
      <c r="F65" s="9" t="s">
        <v>4</v>
      </c>
      <c r="G65" s="9"/>
      <c r="H65" s="9"/>
      <c r="I65" s="9"/>
      <c r="J65" s="9"/>
      <c r="K65" s="3" t="s">
        <v>5</v>
      </c>
      <c r="L65" s="3" t="s">
        <v>6</v>
      </c>
      <c r="M65" s="4" t="s">
        <v>7</v>
      </c>
      <c r="N65" s="4" t="s">
        <v>8</v>
      </c>
      <c r="O65" s="6" t="s">
        <v>9</v>
      </c>
    </row>
    <row r="66" customFormat="false" ht="14.25" hidden="false" customHeight="false" outlineLevel="0" collapsed="false">
      <c r="A66" s="1"/>
      <c r="B66" s="2"/>
      <c r="C66" s="3"/>
      <c r="D66" s="3"/>
      <c r="E66" s="4"/>
      <c r="F66" s="7" t="s">
        <v>10</v>
      </c>
      <c r="G66" s="7" t="s">
        <v>11</v>
      </c>
      <c r="H66" s="7" t="s">
        <v>12</v>
      </c>
      <c r="I66" s="7" t="s">
        <v>13</v>
      </c>
      <c r="J66" s="7" t="s">
        <v>14</v>
      </c>
      <c r="K66" s="3"/>
      <c r="L66" s="3"/>
      <c r="M66" s="4"/>
      <c r="N66" s="4"/>
      <c r="O66" s="6"/>
    </row>
    <row r="67" customFormat="false" ht="15" hidden="false" customHeight="false" outlineLevel="0" collapsed="false">
      <c r="A67" s="1"/>
      <c r="B67" s="8" t="n">
        <v>1</v>
      </c>
      <c r="C67" s="9"/>
      <c r="D67" s="9"/>
      <c r="E67" s="10" t="n">
        <v>118.02</v>
      </c>
      <c r="F67" s="11" t="s">
        <v>16</v>
      </c>
      <c r="G67" s="9" t="n">
        <v>2800</v>
      </c>
      <c r="H67" s="51" t="n">
        <v>8.47</v>
      </c>
      <c r="I67" s="9" t="n">
        <v>40000</v>
      </c>
      <c r="J67" s="13" t="n">
        <f aca="false">I67*H67</f>
        <v>338800</v>
      </c>
      <c r="K67" s="14" t="n">
        <f aca="false">E67-(H67+H68+H69+H70+H71)/5-K68</f>
        <v>94.76</v>
      </c>
      <c r="L67" s="14" t="n">
        <f aca="false">K67*80.5%</f>
        <v>76.2818</v>
      </c>
      <c r="M67" s="13" t="n">
        <f aca="false">L67*14933</f>
        <v>1139116.1194</v>
      </c>
      <c r="N67" s="13" t="n">
        <f aca="false">K67*350</f>
        <v>33166</v>
      </c>
      <c r="O67" s="15" t="n">
        <f aca="false">N67+M67+J67+J68+J69+J70+J71+M68</f>
        <v>1735963.3598</v>
      </c>
    </row>
    <row r="68" customFormat="false" ht="15" hidden="false" customHeight="false" outlineLevel="0" collapsed="false">
      <c r="A68" s="1"/>
      <c r="B68" s="16" t="s">
        <v>17</v>
      </c>
      <c r="C68" s="17"/>
      <c r="D68" s="17"/>
      <c r="E68" s="18"/>
      <c r="F68" s="19" t="s">
        <v>16</v>
      </c>
      <c r="G68" s="17" t="n">
        <v>26</v>
      </c>
      <c r="H68" s="81" t="n">
        <v>0.27</v>
      </c>
      <c r="I68" s="17" t="n">
        <v>40000</v>
      </c>
      <c r="J68" s="21" t="n">
        <f aca="false">I68*H68</f>
        <v>10800</v>
      </c>
      <c r="K68" s="22" t="n">
        <f aca="false">7.29+6.19</f>
        <v>13.48</v>
      </c>
      <c r="L68" s="22" t="n">
        <f aca="false">K68*81%</f>
        <v>10.9188</v>
      </c>
      <c r="M68" s="21" t="n">
        <f aca="false">L68*14933</f>
        <v>163050.4404</v>
      </c>
      <c r="N68" s="21"/>
      <c r="O68" s="23"/>
    </row>
    <row r="69" customFormat="false" ht="15" hidden="false" customHeight="false" outlineLevel="0" collapsed="false">
      <c r="A69" s="1"/>
      <c r="B69" s="16"/>
      <c r="C69" s="17"/>
      <c r="D69" s="17"/>
      <c r="E69" s="18"/>
      <c r="F69" s="19" t="s">
        <v>57</v>
      </c>
      <c r="G69" s="17" t="n">
        <v>89</v>
      </c>
      <c r="H69" s="81" t="n">
        <v>1.1</v>
      </c>
      <c r="I69" s="17" t="n">
        <v>40000</v>
      </c>
      <c r="J69" s="21" t="n">
        <f aca="false">I69*H69</f>
        <v>44000</v>
      </c>
      <c r="K69" s="22"/>
      <c r="L69" s="22"/>
      <c r="M69" s="21"/>
      <c r="N69" s="21"/>
      <c r="O69" s="23"/>
    </row>
    <row r="70" customFormat="false" ht="15" hidden="false" customHeight="false" outlineLevel="0" collapsed="false">
      <c r="A70" s="1"/>
      <c r="B70" s="16"/>
      <c r="C70" s="17"/>
      <c r="D70" s="17"/>
      <c r="E70" s="18"/>
      <c r="F70" s="19" t="s">
        <v>18</v>
      </c>
      <c r="G70" s="17" t="n">
        <v>20</v>
      </c>
      <c r="H70" s="45" t="n">
        <v>18.41</v>
      </c>
      <c r="I70" s="17" t="n">
        <v>180</v>
      </c>
      <c r="J70" s="21" t="n">
        <f aca="false">I70*H70</f>
        <v>3313.8</v>
      </c>
      <c r="K70" s="22"/>
      <c r="L70" s="22"/>
      <c r="M70" s="21"/>
      <c r="N70" s="21"/>
      <c r="O70" s="23"/>
    </row>
    <row r="71" customFormat="false" ht="15" hidden="false" customHeight="false" outlineLevel="0" collapsed="false">
      <c r="A71" s="1"/>
      <c r="B71" s="16"/>
      <c r="C71" s="17"/>
      <c r="D71" s="17"/>
      <c r="E71" s="18"/>
      <c r="F71" s="19" t="s">
        <v>58</v>
      </c>
      <c r="G71" s="17" t="n">
        <v>1</v>
      </c>
      <c r="H71" s="45" t="n">
        <v>20.65</v>
      </c>
      <c r="I71" s="17" t="n">
        <v>180</v>
      </c>
      <c r="J71" s="21" t="n">
        <f aca="false">I71*H71</f>
        <v>3717</v>
      </c>
      <c r="K71" s="22"/>
      <c r="L71" s="22"/>
      <c r="M71" s="21"/>
      <c r="N71" s="21"/>
      <c r="O71" s="23"/>
    </row>
    <row r="72" customFormat="false" ht="14.25" hidden="false" customHeight="false" outlineLevel="0" collapsed="false">
      <c r="A72" s="1"/>
      <c r="B72" s="16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8"/>
      <c r="N72" s="18"/>
      <c r="O72" s="87"/>
    </row>
    <row r="73" customFormat="false" ht="15" hidden="false" customHeight="false" outlineLevel="0" collapsed="false">
      <c r="A73" s="1"/>
      <c r="B73" s="16" t="n">
        <v>1</v>
      </c>
      <c r="C73" s="17"/>
      <c r="D73" s="17"/>
      <c r="E73" s="24" t="n">
        <v>36.64</v>
      </c>
      <c r="F73" s="19" t="s">
        <v>16</v>
      </c>
      <c r="G73" s="17" t="n">
        <v>1070</v>
      </c>
      <c r="H73" s="81" t="n">
        <v>3.18</v>
      </c>
      <c r="I73" s="17" t="n">
        <v>40000</v>
      </c>
      <c r="J73" s="21" t="n">
        <f aca="false">I73*H73</f>
        <v>127200</v>
      </c>
      <c r="K73" s="22" t="n">
        <f aca="false">E73-(H73+H74+H75+H76+H77)/5</f>
        <v>28.644</v>
      </c>
      <c r="L73" s="22" t="n">
        <f aca="false">K73*80.5%</f>
        <v>23.05842</v>
      </c>
      <c r="M73" s="21" t="n">
        <f aca="false">L73*14933</f>
        <v>344331.38586</v>
      </c>
      <c r="N73" s="21" t="n">
        <f aca="false">K73*350</f>
        <v>10025.4</v>
      </c>
      <c r="O73" s="23" t="n">
        <f aca="false">N73+M73+J73+J74+J75+J76+J77</f>
        <v>502117.78586</v>
      </c>
    </row>
    <row r="74" customFormat="false" ht="15" hidden="false" customHeight="false" outlineLevel="0" collapsed="false">
      <c r="A74" s="1"/>
      <c r="B74" s="16" t="s">
        <v>17</v>
      </c>
      <c r="C74" s="17"/>
      <c r="D74" s="17"/>
      <c r="E74" s="18"/>
      <c r="F74" s="19" t="s">
        <v>16</v>
      </c>
      <c r="G74" s="17" t="n">
        <v>4</v>
      </c>
      <c r="H74" s="81" t="n">
        <v>0.04</v>
      </c>
      <c r="I74" s="17" t="n">
        <v>40000</v>
      </c>
      <c r="J74" s="21" t="n">
        <f aca="false">I74*H74</f>
        <v>1600</v>
      </c>
      <c r="K74" s="22"/>
      <c r="L74" s="22"/>
      <c r="M74" s="21"/>
      <c r="N74" s="21"/>
      <c r="O74" s="23"/>
    </row>
    <row r="75" customFormat="false" ht="15" hidden="false" customHeight="false" outlineLevel="0" collapsed="false">
      <c r="A75" s="1"/>
      <c r="B75" s="16"/>
      <c r="C75" s="17"/>
      <c r="D75" s="17"/>
      <c r="E75" s="18"/>
      <c r="F75" s="19" t="s">
        <v>57</v>
      </c>
      <c r="G75" s="17" t="n">
        <v>34</v>
      </c>
      <c r="H75" s="81" t="n">
        <v>0.31</v>
      </c>
      <c r="I75" s="17" t="n">
        <v>40000</v>
      </c>
      <c r="J75" s="21" t="n">
        <f aca="false">I75*H75</f>
        <v>12400</v>
      </c>
      <c r="K75" s="22"/>
      <c r="L75" s="22"/>
      <c r="M75" s="21"/>
      <c r="N75" s="21"/>
      <c r="O75" s="23"/>
    </row>
    <row r="76" customFormat="false" ht="15" hidden="false" customHeight="false" outlineLevel="0" collapsed="false">
      <c r="A76" s="1"/>
      <c r="B76" s="16"/>
      <c r="C76" s="17"/>
      <c r="D76" s="17"/>
      <c r="E76" s="18"/>
      <c r="F76" s="19" t="s">
        <v>18</v>
      </c>
      <c r="G76" s="17" t="n">
        <v>2</v>
      </c>
      <c r="H76" s="45" t="n">
        <v>2.88</v>
      </c>
      <c r="I76" s="17" t="n">
        <v>180</v>
      </c>
      <c r="J76" s="21" t="n">
        <f aca="false">I76*H76</f>
        <v>518.4</v>
      </c>
      <c r="K76" s="22"/>
      <c r="L76" s="22"/>
      <c r="M76" s="21"/>
      <c r="N76" s="21"/>
      <c r="O76" s="23"/>
    </row>
    <row r="77" customFormat="false" ht="15" hidden="false" customHeight="false" outlineLevel="0" collapsed="false">
      <c r="A77" s="1"/>
      <c r="B77" s="16"/>
      <c r="C77" s="17"/>
      <c r="D77" s="83"/>
      <c r="E77" s="18"/>
      <c r="F77" s="19" t="s">
        <v>58</v>
      </c>
      <c r="G77" s="17" t="n">
        <v>4</v>
      </c>
      <c r="H77" s="45" t="n">
        <v>33.57</v>
      </c>
      <c r="I77" s="17" t="n">
        <v>180</v>
      </c>
      <c r="J77" s="21" t="n">
        <f aca="false">I77*H77</f>
        <v>6042.6</v>
      </c>
      <c r="K77" s="22"/>
      <c r="L77" s="22"/>
      <c r="M77" s="21"/>
      <c r="N77" s="21"/>
      <c r="O77" s="23"/>
    </row>
    <row r="78" customFormat="false" ht="15" hidden="false" customHeight="false" outlineLevel="0" collapsed="false">
      <c r="A78" s="1"/>
      <c r="B78" s="25"/>
      <c r="C78" s="26"/>
      <c r="D78" s="26"/>
      <c r="E78" s="27"/>
      <c r="F78" s="28"/>
      <c r="G78" s="28"/>
      <c r="H78" s="29"/>
      <c r="I78" s="26"/>
      <c r="J78" s="30"/>
      <c r="K78" s="27"/>
      <c r="L78" s="27"/>
      <c r="M78" s="27"/>
      <c r="N78" s="31"/>
      <c r="O78" s="32"/>
    </row>
    <row r="79" customFormat="false" ht="15" hidden="false" customHeight="false" outlineLevel="0" collapsed="false">
      <c r="A79" s="1"/>
      <c r="B79" s="33"/>
      <c r="C79" s="34"/>
      <c r="D79" s="34"/>
      <c r="E79" s="35" t="n">
        <f aca="false">SUM(E67:E78)</f>
        <v>154.66</v>
      </c>
      <c r="F79" s="34"/>
      <c r="G79" s="34" t="n">
        <f aca="false">SUM(G67:G78)</f>
        <v>4050</v>
      </c>
      <c r="H79" s="35" t="n">
        <f aca="false">SUM(H67:H78)</f>
        <v>88.88</v>
      </c>
      <c r="I79" s="34"/>
      <c r="J79" s="36" t="n">
        <f aca="false">SUM(J67:J78)</f>
        <v>548391.8</v>
      </c>
      <c r="K79" s="35" t="n">
        <f aca="false">SUM(K67:K78)</f>
        <v>136.884</v>
      </c>
      <c r="L79" s="35" t="n">
        <f aca="false">SUM(L67:L78)</f>
        <v>110.25902</v>
      </c>
      <c r="M79" s="36" t="n">
        <f aca="false">SUM(M67:M78)</f>
        <v>1646497.94566</v>
      </c>
      <c r="N79" s="37" t="n">
        <f aca="false">SUM(N67:N78)</f>
        <v>43191.4</v>
      </c>
      <c r="O79" s="38" t="n">
        <f aca="false">SUM(O67:O78)</f>
        <v>2238081.14566</v>
      </c>
      <c r="P79" s="0" t="s">
        <v>23</v>
      </c>
      <c r="Q79" s="0" t="s">
        <v>26</v>
      </c>
    </row>
    <row r="81" customFormat="false" ht="14.25" hidden="false" customHeight="true" outlineLevel="0" collapsed="false">
      <c r="A81" s="1" t="n">
        <v>6</v>
      </c>
      <c r="B81" s="2" t="s">
        <v>0</v>
      </c>
      <c r="C81" s="3" t="s">
        <v>1</v>
      </c>
      <c r="D81" s="3" t="s">
        <v>2</v>
      </c>
      <c r="E81" s="4" t="s">
        <v>3</v>
      </c>
      <c r="F81" s="9" t="s">
        <v>4</v>
      </c>
      <c r="G81" s="9"/>
      <c r="H81" s="9"/>
      <c r="I81" s="9"/>
      <c r="J81" s="9"/>
      <c r="K81" s="3" t="s">
        <v>5</v>
      </c>
      <c r="L81" s="3" t="s">
        <v>6</v>
      </c>
      <c r="M81" s="4" t="s">
        <v>7</v>
      </c>
      <c r="N81" s="4" t="s">
        <v>8</v>
      </c>
      <c r="O81" s="6" t="s">
        <v>9</v>
      </c>
    </row>
    <row r="82" customFormat="false" ht="14.25" hidden="false" customHeight="false" outlineLevel="0" collapsed="false">
      <c r="A82" s="1"/>
      <c r="B82" s="2"/>
      <c r="C82" s="3"/>
      <c r="D82" s="3"/>
      <c r="E82" s="4"/>
      <c r="F82" s="7" t="s">
        <v>10</v>
      </c>
      <c r="G82" s="7" t="s">
        <v>11</v>
      </c>
      <c r="H82" s="7" t="s">
        <v>12</v>
      </c>
      <c r="I82" s="7" t="s">
        <v>13</v>
      </c>
      <c r="J82" s="7" t="s">
        <v>14</v>
      </c>
      <c r="K82" s="3"/>
      <c r="L82" s="3"/>
      <c r="M82" s="4"/>
      <c r="N82" s="4"/>
      <c r="O82" s="6"/>
    </row>
    <row r="83" customFormat="false" ht="15" hidden="false" customHeight="false" outlineLevel="0" collapsed="false">
      <c r="A83" s="1"/>
      <c r="B83" s="8" t="n">
        <v>1</v>
      </c>
      <c r="C83" s="9" t="s">
        <v>59</v>
      </c>
      <c r="D83" s="9"/>
      <c r="E83" s="10" t="n">
        <v>5.11</v>
      </c>
      <c r="F83" s="11" t="s">
        <v>60</v>
      </c>
      <c r="G83" s="9" t="n">
        <v>2</v>
      </c>
      <c r="H83" s="51" t="n">
        <v>0.55</v>
      </c>
      <c r="I83" s="9" t="n">
        <v>94540</v>
      </c>
      <c r="J83" s="13" t="n">
        <f aca="false">I83*H83</f>
        <v>51997</v>
      </c>
      <c r="K83" s="14" t="n">
        <f aca="false">E83-(H83+H84+H85)/5</f>
        <v>4.398</v>
      </c>
      <c r="L83" s="14" t="n">
        <f aca="false">K83*86%</f>
        <v>3.78228</v>
      </c>
      <c r="M83" s="13" t="n">
        <f aca="false">L83*15250</f>
        <v>57679.77</v>
      </c>
      <c r="N83" s="13"/>
      <c r="O83" s="15" t="n">
        <f aca="false">N83+M83+J83+J84</f>
        <v>4994906.77</v>
      </c>
    </row>
    <row r="84" customFormat="false" ht="15" hidden="false" customHeight="false" outlineLevel="0" collapsed="false">
      <c r="A84" s="1"/>
      <c r="B84" s="16" t="s">
        <v>17</v>
      </c>
      <c r="C84" s="17"/>
      <c r="D84" s="17"/>
      <c r="E84" s="18"/>
      <c r="F84" s="19" t="s">
        <v>21</v>
      </c>
      <c r="G84" s="17" t="n">
        <v>1</v>
      </c>
      <c r="H84" s="81" t="n">
        <v>3.01</v>
      </c>
      <c r="I84" s="17" t="n">
        <v>1623000</v>
      </c>
      <c r="J84" s="21" t="n">
        <f aca="false">I84*H84</f>
        <v>4885230</v>
      </c>
      <c r="K84" s="22"/>
      <c r="L84" s="22"/>
      <c r="M84" s="21"/>
      <c r="N84" s="21"/>
      <c r="O84" s="23"/>
    </row>
    <row r="85" customFormat="false" ht="15" hidden="false" customHeight="false" outlineLevel="0" collapsed="false">
      <c r="A85" s="1"/>
      <c r="B85" s="16"/>
      <c r="C85" s="17"/>
      <c r="D85" s="17"/>
      <c r="E85" s="18"/>
      <c r="F85" s="19"/>
      <c r="G85" s="17"/>
      <c r="H85" s="81"/>
      <c r="I85" s="17"/>
      <c r="J85" s="21"/>
      <c r="K85" s="22"/>
      <c r="L85" s="22"/>
      <c r="M85" s="21"/>
      <c r="N85" s="21"/>
      <c r="O85" s="23"/>
    </row>
    <row r="86" customFormat="false" ht="15" hidden="false" customHeight="false" outlineLevel="0" collapsed="false">
      <c r="A86" s="1"/>
      <c r="B86" s="16" t="n">
        <v>2</v>
      </c>
      <c r="C86" s="17"/>
      <c r="D86" s="17"/>
      <c r="E86" s="24" t="n">
        <v>4.41</v>
      </c>
      <c r="F86" s="19" t="s">
        <v>21</v>
      </c>
      <c r="G86" s="17" t="n">
        <v>2</v>
      </c>
      <c r="H86" s="81" t="n">
        <v>4.02</v>
      </c>
      <c r="I86" s="17" t="n">
        <v>1005000</v>
      </c>
      <c r="J86" s="21" t="n">
        <f aca="false">I86*H86</f>
        <v>4040100</v>
      </c>
      <c r="K86" s="22" t="n">
        <f aca="false">E86-(H86+H87+H88)/5</f>
        <v>3.606</v>
      </c>
      <c r="L86" s="22" t="n">
        <f aca="false">K86*86%</f>
        <v>3.10116</v>
      </c>
      <c r="M86" s="21" t="n">
        <f aca="false">L86*15250</f>
        <v>47292.69</v>
      </c>
      <c r="N86" s="21"/>
      <c r="O86" s="23" t="n">
        <f aca="false">N86+M86+J86+J87</f>
        <v>4087392.69</v>
      </c>
    </row>
    <row r="87" customFormat="false" ht="15" hidden="false" customHeight="false" outlineLevel="0" collapsed="false">
      <c r="A87" s="1"/>
      <c r="B87" s="16" t="s">
        <v>17</v>
      </c>
      <c r="C87" s="17"/>
      <c r="D87" s="17"/>
      <c r="E87" s="18"/>
      <c r="F87" s="19"/>
      <c r="G87" s="17"/>
      <c r="H87" s="81"/>
      <c r="I87" s="17"/>
      <c r="J87" s="21"/>
      <c r="K87" s="22"/>
      <c r="L87" s="22"/>
      <c r="M87" s="21"/>
      <c r="N87" s="21"/>
      <c r="O87" s="23"/>
    </row>
    <row r="88" customFormat="false" ht="15" hidden="false" customHeight="false" outlineLevel="0" collapsed="false">
      <c r="A88" s="1"/>
      <c r="B88" s="16"/>
      <c r="C88" s="17"/>
      <c r="D88" s="17"/>
      <c r="E88" s="18"/>
      <c r="F88" s="19"/>
      <c r="G88" s="17"/>
      <c r="H88" s="81"/>
      <c r="I88" s="17"/>
      <c r="J88" s="21"/>
      <c r="K88" s="22"/>
      <c r="L88" s="22"/>
      <c r="M88" s="21"/>
      <c r="N88" s="21"/>
      <c r="O88" s="23"/>
    </row>
    <row r="89" customFormat="false" ht="15" hidden="false" customHeight="false" outlineLevel="0" collapsed="false">
      <c r="A89" s="1"/>
      <c r="B89" s="25"/>
      <c r="C89" s="26"/>
      <c r="D89" s="26"/>
      <c r="E89" s="27"/>
      <c r="F89" s="28"/>
      <c r="G89" s="28"/>
      <c r="H89" s="29"/>
      <c r="I89" s="26"/>
      <c r="J89" s="30"/>
      <c r="K89" s="27"/>
      <c r="L89" s="27"/>
      <c r="M89" s="27"/>
      <c r="N89" s="31"/>
      <c r="O89" s="32"/>
    </row>
    <row r="90" customFormat="false" ht="15" hidden="false" customHeight="false" outlineLevel="0" collapsed="false">
      <c r="A90" s="1"/>
      <c r="B90" s="33"/>
      <c r="C90" s="34"/>
      <c r="D90" s="34"/>
      <c r="E90" s="35" t="n">
        <f aca="false">SUM(E83:E89)</f>
        <v>9.52</v>
      </c>
      <c r="F90" s="34"/>
      <c r="G90" s="34" t="n">
        <f aca="false">SUM(G83:G89)</f>
        <v>5</v>
      </c>
      <c r="H90" s="35" t="n">
        <f aca="false">SUM(H83:H89)</f>
        <v>7.58</v>
      </c>
      <c r="I90" s="34"/>
      <c r="J90" s="36" t="n">
        <f aca="false">SUM(J83:J89)</f>
        <v>8977327</v>
      </c>
      <c r="K90" s="35" t="n">
        <f aca="false">SUM(K83:K89)</f>
        <v>8.004</v>
      </c>
      <c r="L90" s="35" t="n">
        <f aca="false">SUM(L83:L89)</f>
        <v>6.88344</v>
      </c>
      <c r="M90" s="36" t="n">
        <f aca="false">SUM(M83:M89)</f>
        <v>104972.46</v>
      </c>
      <c r="N90" s="37" t="n">
        <f aca="false">SUM(N83:N89)</f>
        <v>0</v>
      </c>
      <c r="O90" s="38" t="n">
        <f aca="false">SUM(O83:O89)</f>
        <v>9082299.46</v>
      </c>
    </row>
    <row r="92" customFormat="false" ht="14.25" hidden="false" customHeight="true" outlineLevel="0" collapsed="false">
      <c r="A92" s="1" t="n">
        <v>7</v>
      </c>
      <c r="B92" s="2" t="s">
        <v>0</v>
      </c>
      <c r="C92" s="3" t="s">
        <v>1</v>
      </c>
      <c r="D92" s="3" t="s">
        <v>2</v>
      </c>
      <c r="E92" s="4" t="s">
        <v>3</v>
      </c>
      <c r="F92" s="9" t="s">
        <v>4</v>
      </c>
      <c r="G92" s="9"/>
      <c r="H92" s="9"/>
      <c r="I92" s="9"/>
      <c r="J92" s="9"/>
      <c r="K92" s="3" t="s">
        <v>5</v>
      </c>
      <c r="L92" s="3" t="s">
        <v>6</v>
      </c>
      <c r="M92" s="4" t="s">
        <v>7</v>
      </c>
      <c r="N92" s="4" t="s">
        <v>8</v>
      </c>
      <c r="O92" s="6" t="s">
        <v>9</v>
      </c>
    </row>
    <row r="93" customFormat="false" ht="14.25" hidden="false" customHeight="false" outlineLevel="0" collapsed="false">
      <c r="A93" s="1"/>
      <c r="B93" s="2"/>
      <c r="C93" s="3"/>
      <c r="D93" s="3"/>
      <c r="E93" s="4"/>
      <c r="F93" s="7" t="s">
        <v>10</v>
      </c>
      <c r="G93" s="7" t="s">
        <v>11</v>
      </c>
      <c r="H93" s="7" t="s">
        <v>12</v>
      </c>
      <c r="I93" s="7" t="s">
        <v>13</v>
      </c>
      <c r="J93" s="7" t="s">
        <v>14</v>
      </c>
      <c r="K93" s="3"/>
      <c r="L93" s="3"/>
      <c r="M93" s="4"/>
      <c r="N93" s="4"/>
      <c r="O93" s="6"/>
    </row>
    <row r="94" customFormat="false" ht="15" hidden="false" customHeight="false" outlineLevel="0" collapsed="false">
      <c r="A94" s="1"/>
      <c r="B94" s="8" t="n">
        <v>1</v>
      </c>
      <c r="C94" s="9" t="s">
        <v>61</v>
      </c>
      <c r="D94" s="9"/>
      <c r="E94" s="10" t="n">
        <f aca="false">46.51-45.28</f>
        <v>1.23</v>
      </c>
      <c r="F94" s="11"/>
      <c r="G94" s="9"/>
      <c r="H94" s="51"/>
      <c r="I94" s="9"/>
      <c r="J94" s="13"/>
      <c r="K94" s="14" t="n">
        <f aca="false">E94-(H94+H95+H96)/5</f>
        <v>1.23</v>
      </c>
      <c r="L94" s="14" t="n">
        <f aca="false">K94*80.5%</f>
        <v>0.990149999999998</v>
      </c>
      <c r="M94" s="13" t="n">
        <f aca="false">L94*14933</f>
        <v>14785.90995</v>
      </c>
      <c r="N94" s="13" t="n">
        <f aca="false">K94*350</f>
        <v>430.499999999999</v>
      </c>
      <c r="O94" s="15" t="n">
        <f aca="false">N94+M94+J94+J95+J96+J97+J98+J99</f>
        <v>142416.40995</v>
      </c>
    </row>
    <row r="95" customFormat="false" ht="15" hidden="false" customHeight="false" outlineLevel="0" collapsed="false">
      <c r="A95" s="1"/>
      <c r="B95" s="16" t="s">
        <v>17</v>
      </c>
      <c r="C95" s="17"/>
      <c r="D95" s="17"/>
      <c r="E95" s="18"/>
      <c r="F95" s="19"/>
      <c r="G95" s="17"/>
      <c r="H95" s="81"/>
      <c r="I95" s="17"/>
      <c r="J95" s="21"/>
      <c r="K95" s="22"/>
      <c r="L95" s="22"/>
      <c r="M95" s="21"/>
      <c r="N95" s="21"/>
      <c r="O95" s="23"/>
    </row>
    <row r="96" customFormat="false" ht="15" hidden="false" customHeight="false" outlineLevel="0" collapsed="false">
      <c r="A96" s="1"/>
      <c r="B96" s="16"/>
      <c r="C96" s="17"/>
      <c r="D96" s="17"/>
      <c r="E96" s="18"/>
      <c r="F96" s="19"/>
      <c r="G96" s="17"/>
      <c r="H96" s="81"/>
      <c r="I96" s="17"/>
      <c r="J96" s="21"/>
      <c r="K96" s="22"/>
      <c r="L96" s="22"/>
      <c r="M96" s="21"/>
      <c r="N96" s="21"/>
      <c r="O96" s="23"/>
    </row>
    <row r="97" customFormat="false" ht="15" hidden="false" customHeight="false" outlineLevel="0" collapsed="false">
      <c r="A97" s="1"/>
      <c r="B97" s="16"/>
      <c r="C97" s="17"/>
      <c r="D97" s="17"/>
      <c r="E97" s="18"/>
      <c r="F97" s="19"/>
      <c r="G97" s="17"/>
      <c r="H97" s="81"/>
      <c r="I97" s="17"/>
      <c r="J97" s="21"/>
      <c r="K97" s="22"/>
      <c r="L97" s="22"/>
      <c r="M97" s="21"/>
      <c r="N97" s="21"/>
      <c r="O97" s="23"/>
    </row>
    <row r="98" customFormat="false" ht="15" hidden="false" customHeight="false" outlineLevel="0" collapsed="false">
      <c r="A98" s="1"/>
      <c r="B98" s="16" t="n">
        <v>2</v>
      </c>
      <c r="C98" s="17"/>
      <c r="D98" s="83"/>
      <c r="E98" s="24" t="n">
        <v>38.08</v>
      </c>
      <c r="F98" s="19" t="s">
        <v>16</v>
      </c>
      <c r="G98" s="17" t="n">
        <v>1078</v>
      </c>
      <c r="H98" s="81" t="n">
        <v>3.14</v>
      </c>
      <c r="I98" s="17" t="n">
        <v>40000</v>
      </c>
      <c r="J98" s="21" t="n">
        <f aca="false">I98*H98</f>
        <v>125600</v>
      </c>
      <c r="K98" s="22" t="n">
        <f aca="false">E98-(H98+H99+H100+H101+H102)/5</f>
        <v>29.568</v>
      </c>
      <c r="L98" s="22" t="n">
        <f aca="false">K98*80.5%</f>
        <v>23.80224</v>
      </c>
      <c r="M98" s="21" t="n">
        <f aca="false">L98*15461</f>
        <v>368006.43264</v>
      </c>
      <c r="N98" s="21" t="n">
        <f aca="false">K98*350</f>
        <v>10348.8</v>
      </c>
      <c r="O98" s="23" t="n">
        <f aca="false">N98+M98+J98+J99+J100+J101+J102</f>
        <v>522598.63264</v>
      </c>
    </row>
    <row r="99" customFormat="false" ht="15" hidden="false" customHeight="false" outlineLevel="0" collapsed="false">
      <c r="A99" s="1"/>
      <c r="B99" s="16" t="s">
        <v>62</v>
      </c>
      <c r="C99" s="17"/>
      <c r="D99" s="83"/>
      <c r="E99" s="18"/>
      <c r="F99" s="19" t="s">
        <v>16</v>
      </c>
      <c r="G99" s="17" t="n">
        <v>4</v>
      </c>
      <c r="H99" s="81" t="n">
        <v>0.04</v>
      </c>
      <c r="I99" s="17" t="n">
        <v>40000</v>
      </c>
      <c r="J99" s="21" t="n">
        <f aca="false">I99*H99</f>
        <v>1600</v>
      </c>
      <c r="K99" s="22"/>
      <c r="L99" s="22"/>
      <c r="M99" s="21"/>
      <c r="N99" s="21"/>
      <c r="O99" s="23"/>
    </row>
    <row r="100" customFormat="false" ht="15" hidden="false" customHeight="false" outlineLevel="0" collapsed="false">
      <c r="A100" s="1"/>
      <c r="B100" s="16"/>
      <c r="C100" s="17"/>
      <c r="D100" s="83"/>
      <c r="E100" s="18"/>
      <c r="F100" s="19" t="s">
        <v>57</v>
      </c>
      <c r="G100" s="17" t="n">
        <v>36</v>
      </c>
      <c r="H100" s="81" t="n">
        <v>0.25</v>
      </c>
      <c r="I100" s="17" t="n">
        <v>40000</v>
      </c>
      <c r="J100" s="21" t="n">
        <f aca="false">I100*H100</f>
        <v>10000</v>
      </c>
      <c r="K100" s="22"/>
      <c r="L100" s="22"/>
      <c r="M100" s="21"/>
      <c r="N100" s="21"/>
      <c r="O100" s="23"/>
    </row>
    <row r="101" customFormat="false" ht="15" hidden="false" customHeight="false" outlineLevel="0" collapsed="false">
      <c r="A101" s="1"/>
      <c r="B101" s="16"/>
      <c r="C101" s="17"/>
      <c r="D101" s="83"/>
      <c r="E101" s="18"/>
      <c r="F101" s="19" t="s">
        <v>18</v>
      </c>
      <c r="G101" s="17" t="n">
        <v>2</v>
      </c>
      <c r="H101" s="45" t="n">
        <v>3.16</v>
      </c>
      <c r="I101" s="17" t="n">
        <v>180</v>
      </c>
      <c r="J101" s="21" t="n">
        <f aca="false">I101*H101</f>
        <v>568.8</v>
      </c>
      <c r="K101" s="22"/>
      <c r="L101" s="22"/>
      <c r="M101" s="21"/>
      <c r="N101" s="21"/>
      <c r="O101" s="23"/>
    </row>
    <row r="102" customFormat="false" ht="15" hidden="false" customHeight="false" outlineLevel="0" collapsed="false">
      <c r="A102" s="1"/>
      <c r="B102" s="16"/>
      <c r="C102" s="17"/>
      <c r="D102" s="83"/>
      <c r="E102" s="18"/>
      <c r="F102" s="19" t="s">
        <v>58</v>
      </c>
      <c r="G102" s="17" t="n">
        <v>4</v>
      </c>
      <c r="H102" s="45" t="n">
        <v>35.97</v>
      </c>
      <c r="I102" s="17" t="n">
        <v>180</v>
      </c>
      <c r="J102" s="21" t="n">
        <f aca="false">I102*H102</f>
        <v>6474.6</v>
      </c>
      <c r="K102" s="22"/>
      <c r="L102" s="22"/>
      <c r="M102" s="21"/>
      <c r="N102" s="21"/>
      <c r="O102" s="23"/>
    </row>
    <row r="103" customFormat="false" ht="15" hidden="false" customHeight="false" outlineLevel="0" collapsed="false">
      <c r="A103" s="1"/>
      <c r="B103" s="16"/>
      <c r="C103" s="17"/>
      <c r="D103" s="83"/>
      <c r="E103" s="18"/>
      <c r="F103" s="19"/>
      <c r="G103" s="17"/>
      <c r="H103" s="20"/>
      <c r="I103" s="17"/>
      <c r="J103" s="21"/>
      <c r="K103" s="22"/>
      <c r="L103" s="22"/>
      <c r="M103" s="21"/>
      <c r="N103" s="21"/>
      <c r="O103" s="23"/>
    </row>
    <row r="104" customFormat="false" ht="15" hidden="false" customHeight="false" outlineLevel="0" collapsed="false">
      <c r="A104" s="1"/>
      <c r="B104" s="25"/>
      <c r="C104" s="26"/>
      <c r="D104" s="26"/>
      <c r="E104" s="27"/>
      <c r="F104" s="28"/>
      <c r="G104" s="28"/>
      <c r="H104" s="29"/>
      <c r="I104" s="26"/>
      <c r="J104" s="30"/>
      <c r="K104" s="27"/>
      <c r="L104" s="27"/>
      <c r="M104" s="27"/>
      <c r="N104" s="31"/>
      <c r="O104" s="32"/>
    </row>
    <row r="105" customFormat="false" ht="15" hidden="false" customHeight="false" outlineLevel="0" collapsed="false">
      <c r="A105" s="1"/>
      <c r="B105" s="33"/>
      <c r="C105" s="34"/>
      <c r="D105" s="34"/>
      <c r="E105" s="35" t="n">
        <f aca="false">SUM(E94:E104)</f>
        <v>39.31</v>
      </c>
      <c r="F105" s="34"/>
      <c r="G105" s="34" t="n">
        <f aca="false">SUM(G94:G104)</f>
        <v>1124</v>
      </c>
      <c r="H105" s="35" t="n">
        <f aca="false">SUM(H94:H104)</f>
        <v>42.56</v>
      </c>
      <c r="I105" s="34"/>
      <c r="J105" s="36" t="n">
        <f aca="false">SUM(J94:J104)</f>
        <v>144243.4</v>
      </c>
      <c r="K105" s="35" t="n">
        <f aca="false">SUM(K94:K104)</f>
        <v>30.798</v>
      </c>
      <c r="L105" s="35" t="n">
        <f aca="false">SUM(L94:L104)</f>
        <v>24.79239</v>
      </c>
      <c r="M105" s="36" t="n">
        <f aca="false">SUM(M94:M104)</f>
        <v>382792.34259</v>
      </c>
      <c r="N105" s="37" t="n">
        <f aca="false">SUM(N94:N104)</f>
        <v>10779.3</v>
      </c>
      <c r="O105" s="38" t="n">
        <f aca="false">SUM(O94:O104)</f>
        <v>665015.04259</v>
      </c>
      <c r="P105" s="0" t="s">
        <v>23</v>
      </c>
      <c r="Q105" s="0" t="s">
        <v>26</v>
      </c>
    </row>
    <row r="107" customFormat="false" ht="14.25" hidden="false" customHeight="true" outlineLevel="0" collapsed="false">
      <c r="A107" s="1" t="n">
        <v>8</v>
      </c>
      <c r="B107" s="2" t="s">
        <v>0</v>
      </c>
      <c r="C107" s="3" t="s">
        <v>1</v>
      </c>
      <c r="D107" s="3" t="s">
        <v>2</v>
      </c>
      <c r="E107" s="4" t="s">
        <v>3</v>
      </c>
      <c r="F107" s="9" t="s">
        <v>4</v>
      </c>
      <c r="G107" s="9"/>
      <c r="H107" s="9"/>
      <c r="I107" s="9"/>
      <c r="J107" s="9"/>
      <c r="K107" s="3" t="s">
        <v>5</v>
      </c>
      <c r="L107" s="3" t="s">
        <v>6</v>
      </c>
      <c r="M107" s="4" t="s">
        <v>7</v>
      </c>
      <c r="N107" s="4" t="s">
        <v>8</v>
      </c>
      <c r="O107" s="6" t="s">
        <v>9</v>
      </c>
    </row>
    <row r="108" customFormat="false" ht="14.25" hidden="false" customHeight="false" outlineLevel="0" collapsed="false">
      <c r="A108" s="1"/>
      <c r="B108" s="2"/>
      <c r="C108" s="3"/>
      <c r="D108" s="3"/>
      <c r="E108" s="4"/>
      <c r="F108" s="7" t="s">
        <v>10</v>
      </c>
      <c r="G108" s="7" t="s">
        <v>11</v>
      </c>
      <c r="H108" s="7" t="s">
        <v>12</v>
      </c>
      <c r="I108" s="7" t="s">
        <v>13</v>
      </c>
      <c r="J108" s="7" t="s">
        <v>14</v>
      </c>
      <c r="K108" s="3"/>
      <c r="L108" s="3"/>
      <c r="M108" s="4"/>
      <c r="N108" s="4"/>
      <c r="O108" s="6"/>
    </row>
    <row r="109" customFormat="false" ht="15" hidden="false" customHeight="false" outlineLevel="0" collapsed="false">
      <c r="A109" s="1"/>
      <c r="B109" s="8" t="n">
        <v>1</v>
      </c>
      <c r="C109" s="9" t="s">
        <v>63</v>
      </c>
      <c r="D109" s="88"/>
      <c r="E109" s="10" t="n">
        <v>29.83</v>
      </c>
      <c r="F109" s="11" t="s">
        <v>16</v>
      </c>
      <c r="G109" s="9" t="n">
        <v>267</v>
      </c>
      <c r="H109" s="51" t="n">
        <v>1.42</v>
      </c>
      <c r="I109" s="9" t="n">
        <v>40000</v>
      </c>
      <c r="J109" s="13" t="n">
        <f aca="false">I109*H109</f>
        <v>56800</v>
      </c>
      <c r="K109" s="14" t="n">
        <f aca="false">E109-(H109+H110+H111+H112)/5</f>
        <v>26.428</v>
      </c>
      <c r="L109" s="14" t="n">
        <f aca="false">K109*80.5%</f>
        <v>21.27454</v>
      </c>
      <c r="M109" s="13" t="n">
        <f aca="false">L109*15519</f>
        <v>330159.58626</v>
      </c>
      <c r="N109" s="13" t="n">
        <f aca="false">K109*350</f>
        <v>9249.8</v>
      </c>
      <c r="O109" s="15" t="n">
        <f aca="false">N109+M109+J109+J110+J111+J112</f>
        <v>539978.38626</v>
      </c>
    </row>
    <row r="110" customFormat="false" ht="15" hidden="false" customHeight="false" outlineLevel="0" collapsed="false">
      <c r="A110" s="1"/>
      <c r="B110" s="16" t="s">
        <v>62</v>
      </c>
      <c r="C110" s="17"/>
      <c r="D110" s="83"/>
      <c r="E110" s="18"/>
      <c r="F110" s="19" t="s">
        <v>16</v>
      </c>
      <c r="G110" s="17" t="n">
        <v>226</v>
      </c>
      <c r="H110" s="81" t="n">
        <v>3.54</v>
      </c>
      <c r="I110" s="17" t="n">
        <v>40000</v>
      </c>
      <c r="J110" s="21" t="n">
        <f aca="false">I110*H110</f>
        <v>141600</v>
      </c>
      <c r="K110" s="22"/>
      <c r="L110" s="22"/>
      <c r="M110" s="21"/>
      <c r="N110" s="21"/>
      <c r="O110" s="23"/>
    </row>
    <row r="111" customFormat="false" ht="15" hidden="false" customHeight="false" outlineLevel="0" collapsed="false">
      <c r="A111" s="1"/>
      <c r="B111" s="16"/>
      <c r="C111" s="17"/>
      <c r="D111" s="83"/>
      <c r="E111" s="18"/>
      <c r="F111" s="19" t="s">
        <v>18</v>
      </c>
      <c r="G111" s="17" t="n">
        <v>2</v>
      </c>
      <c r="H111" s="45" t="n">
        <v>5.37</v>
      </c>
      <c r="I111" s="17" t="n">
        <v>180</v>
      </c>
      <c r="J111" s="21" t="n">
        <f aca="false">I111*H111</f>
        <v>966.6</v>
      </c>
      <c r="K111" s="22"/>
      <c r="L111" s="22"/>
      <c r="M111" s="21"/>
      <c r="N111" s="21"/>
      <c r="O111" s="23"/>
    </row>
    <row r="112" customFormat="false" ht="15" hidden="false" customHeight="false" outlineLevel="0" collapsed="false">
      <c r="A112" s="1"/>
      <c r="B112" s="16"/>
      <c r="C112" s="17"/>
      <c r="D112" s="83"/>
      <c r="E112" s="18"/>
      <c r="F112" s="19" t="s">
        <v>19</v>
      </c>
      <c r="G112" s="17" t="n">
        <v>2</v>
      </c>
      <c r="H112" s="45" t="n">
        <v>6.68</v>
      </c>
      <c r="I112" s="17" t="n">
        <v>180</v>
      </c>
      <c r="J112" s="21" t="n">
        <f aca="false">I112*H112</f>
        <v>1202.4</v>
      </c>
      <c r="K112" s="22"/>
      <c r="L112" s="22"/>
      <c r="M112" s="21"/>
      <c r="N112" s="21"/>
      <c r="O112" s="23"/>
    </row>
    <row r="113" customFormat="false" ht="15" hidden="false" customHeight="false" outlineLevel="0" collapsed="false">
      <c r="A113" s="1"/>
      <c r="B113" s="25"/>
      <c r="C113" s="26"/>
      <c r="D113" s="26"/>
      <c r="E113" s="27"/>
      <c r="F113" s="28"/>
      <c r="G113" s="28"/>
      <c r="H113" s="29"/>
      <c r="I113" s="26"/>
      <c r="J113" s="30"/>
      <c r="K113" s="27"/>
      <c r="L113" s="27"/>
      <c r="M113" s="27"/>
      <c r="N113" s="31"/>
      <c r="O113" s="32"/>
    </row>
    <row r="114" customFormat="false" ht="15" hidden="false" customHeight="false" outlineLevel="0" collapsed="false">
      <c r="A114" s="1"/>
      <c r="B114" s="33"/>
      <c r="C114" s="34"/>
      <c r="D114" s="34"/>
      <c r="E114" s="35" t="n">
        <f aca="false">SUM(E109:E113)</f>
        <v>29.83</v>
      </c>
      <c r="F114" s="34"/>
      <c r="G114" s="34" t="n">
        <f aca="false">SUM(G109:G113)</f>
        <v>497</v>
      </c>
      <c r="H114" s="35" t="n">
        <f aca="false">SUM(H109:H113)</f>
        <v>17.01</v>
      </c>
      <c r="I114" s="34"/>
      <c r="J114" s="36" t="n">
        <f aca="false">SUM(J109:J113)</f>
        <v>200569</v>
      </c>
      <c r="K114" s="35" t="n">
        <f aca="false">SUM(K109:K113)</f>
        <v>26.428</v>
      </c>
      <c r="L114" s="35" t="n">
        <f aca="false">SUM(L109:L113)</f>
        <v>21.27454</v>
      </c>
      <c r="M114" s="36" t="n">
        <f aca="false">SUM(M109:M113)</f>
        <v>330159.58626</v>
      </c>
      <c r="N114" s="37" t="n">
        <f aca="false">SUM(N109:N113)</f>
        <v>9249.8</v>
      </c>
      <c r="O114" s="38" t="n">
        <f aca="false">SUM(O109:O113)</f>
        <v>539978.38626</v>
      </c>
      <c r="P114" s="0" t="s">
        <v>23</v>
      </c>
      <c r="Q114" s="0" t="s">
        <v>26</v>
      </c>
    </row>
    <row r="116" customFormat="false" ht="14.25" hidden="false" customHeight="true" outlineLevel="0" collapsed="false">
      <c r="A116" s="1" t="n">
        <v>9</v>
      </c>
      <c r="B116" s="2" t="s">
        <v>0</v>
      </c>
      <c r="C116" s="3" t="s">
        <v>1</v>
      </c>
      <c r="D116" s="3" t="s">
        <v>2</v>
      </c>
      <c r="E116" s="4" t="s">
        <v>3</v>
      </c>
      <c r="F116" s="9" t="s">
        <v>4</v>
      </c>
      <c r="G116" s="9"/>
      <c r="H116" s="9"/>
      <c r="I116" s="9"/>
      <c r="J116" s="9"/>
      <c r="K116" s="3" t="s">
        <v>5</v>
      </c>
      <c r="L116" s="3" t="s">
        <v>6</v>
      </c>
      <c r="M116" s="4" t="s">
        <v>7</v>
      </c>
      <c r="N116" s="4" t="s">
        <v>8</v>
      </c>
      <c r="O116" s="6" t="s">
        <v>9</v>
      </c>
    </row>
    <row r="117" customFormat="false" ht="14.25" hidden="false" customHeight="false" outlineLevel="0" collapsed="false">
      <c r="A117" s="1"/>
      <c r="B117" s="2"/>
      <c r="C117" s="3"/>
      <c r="D117" s="3"/>
      <c r="E117" s="4"/>
      <c r="F117" s="7" t="s">
        <v>10</v>
      </c>
      <c r="G117" s="7" t="s">
        <v>11</v>
      </c>
      <c r="H117" s="7" t="s">
        <v>12</v>
      </c>
      <c r="I117" s="7" t="s">
        <v>13</v>
      </c>
      <c r="J117" s="7" t="s">
        <v>14</v>
      </c>
      <c r="K117" s="3"/>
      <c r="L117" s="3"/>
      <c r="M117" s="4"/>
      <c r="N117" s="4"/>
      <c r="O117" s="6"/>
    </row>
    <row r="118" customFormat="false" ht="15" hidden="false" customHeight="false" outlineLevel="0" collapsed="false">
      <c r="A118" s="1"/>
      <c r="B118" s="8" t="n">
        <v>1</v>
      </c>
      <c r="C118" s="9" t="s">
        <v>64</v>
      </c>
      <c r="D118" s="88" t="s">
        <v>65</v>
      </c>
      <c r="E118" s="10" t="n">
        <v>120.89</v>
      </c>
      <c r="F118" s="11" t="s">
        <v>16</v>
      </c>
      <c r="G118" s="9" t="n">
        <v>3921</v>
      </c>
      <c r="H118" s="51" t="n">
        <v>10.98</v>
      </c>
      <c r="I118" s="9" t="n">
        <v>40000</v>
      </c>
      <c r="J118" s="13" t="n">
        <f aca="false">I118*H118</f>
        <v>439200</v>
      </c>
      <c r="K118" s="14" t="n">
        <f aca="false">E118-(H118+H119+H120+H121)/5</f>
        <v>113.184</v>
      </c>
      <c r="L118" s="14" t="n">
        <f aca="false">K118*80.5%</f>
        <v>91.11312</v>
      </c>
      <c r="M118" s="13" t="n">
        <f aca="false">L118*15648</f>
        <v>1425738.10176</v>
      </c>
      <c r="N118" s="13" t="n">
        <f aca="false">K118*350</f>
        <v>39614.4</v>
      </c>
      <c r="O118" s="15" t="n">
        <f aca="false">N118+M118+J118+J119+J120+J121</f>
        <v>1962529.00176</v>
      </c>
    </row>
    <row r="119" customFormat="false" ht="15" hidden="false" customHeight="false" outlineLevel="0" collapsed="false">
      <c r="A119" s="1"/>
      <c r="B119" s="16" t="s">
        <v>62</v>
      </c>
      <c r="C119" s="17"/>
      <c r="D119" s="83"/>
      <c r="E119" s="18"/>
      <c r="F119" s="19" t="s">
        <v>16</v>
      </c>
      <c r="G119" s="17" t="n">
        <v>128</v>
      </c>
      <c r="H119" s="81" t="n">
        <v>1.33</v>
      </c>
      <c r="I119" s="17" t="n">
        <v>40000</v>
      </c>
      <c r="J119" s="21" t="n">
        <f aca="false">I119*H119</f>
        <v>53200</v>
      </c>
      <c r="K119" s="22"/>
      <c r="L119" s="22"/>
      <c r="M119" s="21"/>
      <c r="N119" s="21"/>
      <c r="O119" s="23"/>
    </row>
    <row r="120" customFormat="false" ht="15" hidden="false" customHeight="false" outlineLevel="0" collapsed="false">
      <c r="A120" s="1"/>
      <c r="B120" s="16"/>
      <c r="C120" s="17"/>
      <c r="D120" s="83"/>
      <c r="E120" s="18"/>
      <c r="F120" s="19" t="s">
        <v>18</v>
      </c>
      <c r="G120" s="17" t="n">
        <v>1</v>
      </c>
      <c r="H120" s="45" t="n">
        <v>9.35</v>
      </c>
      <c r="I120" s="17" t="n">
        <v>150</v>
      </c>
      <c r="J120" s="21" t="n">
        <f aca="false">I120*H120</f>
        <v>1402.5</v>
      </c>
      <c r="K120" s="22"/>
      <c r="L120" s="22"/>
      <c r="M120" s="21"/>
      <c r="N120" s="21"/>
      <c r="O120" s="23"/>
    </row>
    <row r="121" customFormat="false" ht="15" hidden="false" customHeight="false" outlineLevel="0" collapsed="false">
      <c r="A121" s="1"/>
      <c r="B121" s="16"/>
      <c r="C121" s="17"/>
      <c r="D121" s="83"/>
      <c r="E121" s="18"/>
      <c r="F121" s="19" t="s">
        <v>58</v>
      </c>
      <c r="G121" s="17" t="n">
        <v>9</v>
      </c>
      <c r="H121" s="45" t="n">
        <v>16.87</v>
      </c>
      <c r="I121" s="17" t="n">
        <v>200</v>
      </c>
      <c r="J121" s="21" t="n">
        <f aca="false">I121*H121</f>
        <v>3374</v>
      </c>
      <c r="K121" s="22"/>
      <c r="L121" s="22"/>
      <c r="M121" s="21"/>
      <c r="N121" s="21"/>
      <c r="O121" s="23"/>
    </row>
    <row r="122" customFormat="false" ht="15" hidden="false" customHeight="false" outlineLevel="0" collapsed="false">
      <c r="A122" s="1"/>
      <c r="B122" s="16"/>
      <c r="C122" s="17"/>
      <c r="D122" s="83"/>
      <c r="E122" s="18"/>
      <c r="F122" s="19"/>
      <c r="G122" s="17"/>
      <c r="H122" s="20"/>
      <c r="I122" s="17"/>
      <c r="J122" s="21"/>
      <c r="K122" s="22"/>
      <c r="L122" s="22"/>
      <c r="M122" s="21"/>
      <c r="N122" s="21"/>
      <c r="O122" s="23"/>
    </row>
    <row r="123" customFormat="false" ht="15" hidden="false" customHeight="false" outlineLevel="0" collapsed="false">
      <c r="A123" s="1"/>
      <c r="B123" s="16" t="n">
        <v>2</v>
      </c>
      <c r="C123" s="17"/>
      <c r="D123" s="83"/>
      <c r="E123" s="24" t="n">
        <v>9.95</v>
      </c>
      <c r="F123" s="19" t="s">
        <v>16</v>
      </c>
      <c r="G123" s="17" t="n">
        <v>248</v>
      </c>
      <c r="H123" s="81" t="n">
        <v>0.76</v>
      </c>
      <c r="I123" s="17" t="n">
        <v>40000</v>
      </c>
      <c r="J123" s="21" t="n">
        <f aca="false">I123*H123</f>
        <v>30400</v>
      </c>
      <c r="K123" s="22" t="n">
        <f aca="false">E123-(H123+H124+H125+H126)/5</f>
        <v>8.478</v>
      </c>
      <c r="L123" s="22" t="n">
        <f aca="false">K123*80.5%</f>
        <v>6.82479</v>
      </c>
      <c r="M123" s="21" t="n">
        <f aca="false">L123*15648</f>
        <v>106794.31392</v>
      </c>
      <c r="N123" s="21" t="n">
        <f aca="false">K123*350</f>
        <v>2967.3</v>
      </c>
      <c r="O123" s="23" t="n">
        <f aca="false">N123+M123+J123+J124+J125+J126</f>
        <v>147003.61392</v>
      </c>
    </row>
    <row r="124" customFormat="false" ht="15" hidden="false" customHeight="false" outlineLevel="0" collapsed="false">
      <c r="A124" s="1"/>
      <c r="B124" s="16" t="s">
        <v>62</v>
      </c>
      <c r="C124" s="17"/>
      <c r="D124" s="83"/>
      <c r="E124" s="18"/>
      <c r="F124" s="19" t="s">
        <v>16</v>
      </c>
      <c r="G124" s="17" t="n">
        <v>15</v>
      </c>
      <c r="H124" s="81" t="n">
        <v>0.14</v>
      </c>
      <c r="I124" s="17" t="n">
        <v>40000</v>
      </c>
      <c r="J124" s="21" t="n">
        <f aca="false">I124*H124</f>
        <v>5600</v>
      </c>
      <c r="K124" s="22"/>
      <c r="L124" s="22"/>
      <c r="M124" s="21"/>
      <c r="N124" s="21"/>
      <c r="O124" s="23"/>
    </row>
    <row r="125" customFormat="false" ht="15" hidden="false" customHeight="false" outlineLevel="0" collapsed="false">
      <c r="A125" s="1"/>
      <c r="B125" s="16"/>
      <c r="C125" s="17"/>
      <c r="D125" s="83"/>
      <c r="E125" s="18"/>
      <c r="F125" s="19" t="s">
        <v>18</v>
      </c>
      <c r="G125" s="17" t="n">
        <v>1</v>
      </c>
      <c r="H125" s="45" t="n">
        <v>1</v>
      </c>
      <c r="I125" s="17" t="n">
        <v>150</v>
      </c>
      <c r="J125" s="21" t="n">
        <f aca="false">I125*H125</f>
        <v>150</v>
      </c>
      <c r="K125" s="22"/>
      <c r="L125" s="22"/>
      <c r="M125" s="21"/>
      <c r="N125" s="21"/>
      <c r="O125" s="23"/>
    </row>
    <row r="126" customFormat="false" ht="15" hidden="false" customHeight="false" outlineLevel="0" collapsed="false">
      <c r="A126" s="1"/>
      <c r="B126" s="16"/>
      <c r="C126" s="17"/>
      <c r="D126" s="83"/>
      <c r="E126" s="18"/>
      <c r="F126" s="19" t="s">
        <v>58</v>
      </c>
      <c r="G126" s="17" t="n">
        <v>11</v>
      </c>
      <c r="H126" s="45" t="n">
        <v>5.46</v>
      </c>
      <c r="I126" s="17" t="n">
        <v>200</v>
      </c>
      <c r="J126" s="21" t="n">
        <f aca="false">I126*H126</f>
        <v>1092</v>
      </c>
      <c r="K126" s="22"/>
      <c r="L126" s="22"/>
      <c r="M126" s="21"/>
      <c r="N126" s="21"/>
      <c r="O126" s="23"/>
    </row>
    <row r="127" customFormat="false" ht="15" hidden="false" customHeight="false" outlineLevel="0" collapsed="false">
      <c r="A127" s="1"/>
      <c r="B127" s="16"/>
      <c r="C127" s="17"/>
      <c r="D127" s="83"/>
      <c r="E127" s="18"/>
      <c r="F127" s="19"/>
      <c r="G127" s="17"/>
      <c r="H127" s="20"/>
      <c r="I127" s="17"/>
      <c r="J127" s="21"/>
      <c r="K127" s="22"/>
      <c r="L127" s="22"/>
      <c r="M127" s="21"/>
      <c r="N127" s="21"/>
      <c r="O127" s="23"/>
    </row>
    <row r="128" customFormat="false" ht="15" hidden="false" customHeight="false" outlineLevel="0" collapsed="false">
      <c r="A128" s="1"/>
      <c r="B128" s="16" t="n">
        <v>3</v>
      </c>
      <c r="C128" s="17"/>
      <c r="D128" s="83"/>
      <c r="E128" s="24" t="n">
        <v>26.73</v>
      </c>
      <c r="F128" s="19" t="s">
        <v>16</v>
      </c>
      <c r="G128" s="17" t="n">
        <v>726</v>
      </c>
      <c r="H128" s="81" t="n">
        <v>2.01</v>
      </c>
      <c r="I128" s="17" t="n">
        <v>40000</v>
      </c>
      <c r="J128" s="21" t="n">
        <f aca="false">I128*H128</f>
        <v>80400</v>
      </c>
      <c r="K128" s="22" t="n">
        <f aca="false">E128-(H128+H129+H130+H131)/5</f>
        <v>23.804</v>
      </c>
      <c r="L128" s="22" t="n">
        <f aca="false">K128*80.5%</f>
        <v>19.16222</v>
      </c>
      <c r="M128" s="21" t="n">
        <f aca="false">L128*15648</f>
        <v>299850.41856</v>
      </c>
      <c r="N128" s="21" t="n">
        <f aca="false">K128*350</f>
        <v>8331.4</v>
      </c>
      <c r="O128" s="23" t="n">
        <f aca="false">N128+M128+J128+J129+J130+J131</f>
        <v>402067.31856</v>
      </c>
    </row>
    <row r="129" customFormat="false" ht="15" hidden="false" customHeight="false" outlineLevel="0" collapsed="false">
      <c r="A129" s="1"/>
      <c r="B129" s="16" t="s">
        <v>62</v>
      </c>
      <c r="C129" s="17"/>
      <c r="D129" s="83"/>
      <c r="E129" s="18"/>
      <c r="F129" s="19" t="s">
        <v>16</v>
      </c>
      <c r="G129" s="17" t="n">
        <v>30</v>
      </c>
      <c r="H129" s="81" t="n">
        <v>0.28</v>
      </c>
      <c r="I129" s="17" t="n">
        <v>40000</v>
      </c>
      <c r="J129" s="21" t="n">
        <f aca="false">I129*H129</f>
        <v>11200</v>
      </c>
      <c r="K129" s="22"/>
      <c r="L129" s="22"/>
      <c r="M129" s="21"/>
      <c r="N129" s="21"/>
      <c r="O129" s="23"/>
    </row>
    <row r="130" customFormat="false" ht="15" hidden="false" customHeight="false" outlineLevel="0" collapsed="false">
      <c r="A130" s="1"/>
      <c r="B130" s="16"/>
      <c r="C130" s="17"/>
      <c r="D130" s="83"/>
      <c r="E130" s="18"/>
      <c r="F130" s="19" t="s">
        <v>18</v>
      </c>
      <c r="G130" s="17" t="n">
        <v>4</v>
      </c>
      <c r="H130" s="45" t="n">
        <v>3.65</v>
      </c>
      <c r="I130" s="17" t="n">
        <v>150</v>
      </c>
      <c r="J130" s="21" t="n">
        <f aca="false">I130*H130</f>
        <v>547.5</v>
      </c>
      <c r="K130" s="22"/>
      <c r="L130" s="22"/>
      <c r="M130" s="21"/>
      <c r="N130" s="21"/>
      <c r="O130" s="23"/>
    </row>
    <row r="131" customFormat="false" ht="15" hidden="false" customHeight="false" outlineLevel="0" collapsed="false">
      <c r="A131" s="1"/>
      <c r="B131" s="16"/>
      <c r="C131" s="17"/>
      <c r="D131" s="83"/>
      <c r="E131" s="18"/>
      <c r="F131" s="19" t="s">
        <v>58</v>
      </c>
      <c r="G131" s="17" t="n">
        <v>18</v>
      </c>
      <c r="H131" s="45" t="n">
        <v>8.69</v>
      </c>
      <c r="I131" s="17" t="n">
        <v>200</v>
      </c>
      <c r="J131" s="21" t="n">
        <f aca="false">I131*H131</f>
        <v>1738</v>
      </c>
      <c r="K131" s="22"/>
      <c r="L131" s="22"/>
      <c r="M131" s="21"/>
      <c r="N131" s="21"/>
      <c r="O131" s="23"/>
    </row>
    <row r="132" customFormat="false" ht="15" hidden="false" customHeight="false" outlineLevel="0" collapsed="false">
      <c r="A132" s="1"/>
      <c r="B132" s="16"/>
      <c r="C132" s="17"/>
      <c r="D132" s="83"/>
      <c r="E132" s="18"/>
      <c r="F132" s="19"/>
      <c r="G132" s="17"/>
      <c r="H132" s="20"/>
      <c r="I132" s="17"/>
      <c r="J132" s="21"/>
      <c r="K132" s="22"/>
      <c r="L132" s="22"/>
      <c r="M132" s="21"/>
      <c r="N132" s="21"/>
      <c r="O132" s="23"/>
    </row>
    <row r="133" customFormat="false" ht="15" hidden="false" customHeight="false" outlineLevel="0" collapsed="false">
      <c r="A133" s="1"/>
      <c r="B133" s="16" t="n">
        <v>4</v>
      </c>
      <c r="C133" s="17"/>
      <c r="D133" s="83" t="s">
        <v>66</v>
      </c>
      <c r="E133" s="24" t="n">
        <v>146.95</v>
      </c>
      <c r="F133" s="19" t="s">
        <v>16</v>
      </c>
      <c r="G133" s="17" t="n">
        <v>3935</v>
      </c>
      <c r="H133" s="81" t="n">
        <v>10.8</v>
      </c>
      <c r="I133" s="17" t="n">
        <v>40000</v>
      </c>
      <c r="J133" s="21" t="n">
        <f aca="false">I133*H133</f>
        <v>432000</v>
      </c>
      <c r="K133" s="22" t="n">
        <f aca="false">E133-(H133+H134+H135+H136)/5-K134</f>
        <v>119.51</v>
      </c>
      <c r="L133" s="22" t="n">
        <f aca="false">K133*80.5%</f>
        <v>96.20555</v>
      </c>
      <c r="M133" s="21" t="n">
        <f aca="false">L133*15648</f>
        <v>1505424.4464</v>
      </c>
      <c r="N133" s="21" t="n">
        <f aca="false">K133*350</f>
        <v>41828.5</v>
      </c>
      <c r="O133" s="23" t="n">
        <f aca="false">N133+M133+J133+J134+J135+J136+M134</f>
        <v>2314954.4888</v>
      </c>
    </row>
    <row r="134" customFormat="false" ht="15" hidden="false" customHeight="false" outlineLevel="0" collapsed="false">
      <c r="A134" s="1"/>
      <c r="B134" s="16" t="s">
        <v>62</v>
      </c>
      <c r="C134" s="17"/>
      <c r="D134" s="83"/>
      <c r="E134" s="18"/>
      <c r="F134" s="19" t="s">
        <v>16</v>
      </c>
      <c r="G134" s="17" t="n">
        <v>187</v>
      </c>
      <c r="H134" s="81" t="n">
        <v>1.9</v>
      </c>
      <c r="I134" s="17" t="n">
        <v>40000</v>
      </c>
      <c r="J134" s="21" t="n">
        <f aca="false">I134*H134</f>
        <v>76000</v>
      </c>
      <c r="K134" s="22" t="n">
        <v>19.61</v>
      </c>
      <c r="L134" s="22" t="n">
        <f aca="false">K134*83%</f>
        <v>16.2763</v>
      </c>
      <c r="M134" s="21" t="n">
        <f aca="false">L134*15648</f>
        <v>254691.5424</v>
      </c>
      <c r="N134" s="21"/>
      <c r="O134" s="23"/>
    </row>
    <row r="135" customFormat="false" ht="15" hidden="false" customHeight="false" outlineLevel="0" collapsed="false">
      <c r="A135" s="1"/>
      <c r="B135" s="16"/>
      <c r="C135" s="17"/>
      <c r="D135" s="83"/>
      <c r="E135" s="18"/>
      <c r="F135" s="19" t="s">
        <v>18</v>
      </c>
      <c r="G135" s="17" t="n">
        <v>2</v>
      </c>
      <c r="H135" s="45" t="n">
        <v>5.6</v>
      </c>
      <c r="I135" s="17" t="n">
        <v>150</v>
      </c>
      <c r="J135" s="21" t="n">
        <f aca="false">I135*H135</f>
        <v>840</v>
      </c>
      <c r="K135" s="22"/>
      <c r="L135" s="22"/>
      <c r="M135" s="21"/>
      <c r="N135" s="21"/>
      <c r="O135" s="23"/>
    </row>
    <row r="136" customFormat="false" ht="15" hidden="false" customHeight="false" outlineLevel="0" collapsed="false">
      <c r="A136" s="1"/>
      <c r="B136" s="16"/>
      <c r="C136" s="17"/>
      <c r="D136" s="83"/>
      <c r="E136" s="18"/>
      <c r="F136" s="19" t="s">
        <v>58</v>
      </c>
      <c r="G136" s="17" t="n">
        <v>30</v>
      </c>
      <c r="H136" s="45" t="n">
        <v>20.85</v>
      </c>
      <c r="I136" s="17" t="n">
        <v>200</v>
      </c>
      <c r="J136" s="21" t="n">
        <f aca="false">I136*H136</f>
        <v>4170</v>
      </c>
      <c r="K136" s="22"/>
      <c r="L136" s="22"/>
      <c r="M136" s="21"/>
      <c r="N136" s="21"/>
      <c r="O136" s="23"/>
    </row>
    <row r="137" customFormat="false" ht="15" hidden="false" customHeight="false" outlineLevel="0" collapsed="false">
      <c r="A137" s="1"/>
      <c r="B137" s="16"/>
      <c r="C137" s="17"/>
      <c r="D137" s="83"/>
      <c r="E137" s="18"/>
      <c r="F137" s="19"/>
      <c r="G137" s="17"/>
      <c r="H137" s="20"/>
      <c r="I137" s="17"/>
      <c r="J137" s="21"/>
      <c r="K137" s="22"/>
      <c r="L137" s="22"/>
      <c r="M137" s="21"/>
      <c r="N137" s="21"/>
      <c r="O137" s="23"/>
    </row>
    <row r="138" customFormat="false" ht="15" hidden="false" customHeight="false" outlineLevel="0" collapsed="false">
      <c r="A138" s="1"/>
      <c r="B138" s="16" t="n">
        <v>5</v>
      </c>
      <c r="C138" s="17"/>
      <c r="D138" s="83"/>
      <c r="E138" s="24" t="n">
        <v>133</v>
      </c>
      <c r="F138" s="19" t="s">
        <v>16</v>
      </c>
      <c r="G138" s="17" t="n">
        <v>4262</v>
      </c>
      <c r="H138" s="81" t="n">
        <v>11.19</v>
      </c>
      <c r="I138" s="17" t="n">
        <v>40000</v>
      </c>
      <c r="J138" s="21" t="n">
        <f aca="false">I138*H138</f>
        <v>447600</v>
      </c>
      <c r="K138" s="22" t="n">
        <f aca="false">E138-(H138+H139+H140+H141)/5-K139</f>
        <v>116.768</v>
      </c>
      <c r="L138" s="22" t="n">
        <f aca="false">K138*80.5%</f>
        <v>93.99824</v>
      </c>
      <c r="M138" s="21" t="n">
        <f aca="false">L138*15648</f>
        <v>1470884.45952</v>
      </c>
      <c r="N138" s="21" t="n">
        <f aca="false">K138*350</f>
        <v>40868.8</v>
      </c>
      <c r="O138" s="23" t="n">
        <f aca="false">N138+M138+J138+J139+J140+J141+M139</f>
        <v>2160813.59552</v>
      </c>
    </row>
    <row r="139" customFormat="false" ht="15" hidden="false" customHeight="false" outlineLevel="0" collapsed="false">
      <c r="A139" s="1"/>
      <c r="B139" s="16" t="s">
        <v>62</v>
      </c>
      <c r="C139" s="17"/>
      <c r="D139" s="83"/>
      <c r="E139" s="18"/>
      <c r="F139" s="19" t="s">
        <v>16</v>
      </c>
      <c r="G139" s="17" t="n">
        <v>190</v>
      </c>
      <c r="H139" s="81" t="n">
        <v>1.74</v>
      </c>
      <c r="I139" s="17" t="n">
        <v>40000</v>
      </c>
      <c r="J139" s="21" t="n">
        <f aca="false">I139*H139</f>
        <v>69600</v>
      </c>
      <c r="K139" s="22" t="n">
        <v>10.29</v>
      </c>
      <c r="L139" s="22" t="n">
        <f aca="false">K139*80%</f>
        <v>8.232</v>
      </c>
      <c r="M139" s="21" t="n">
        <f aca="false">L139*15648</f>
        <v>128814.336</v>
      </c>
      <c r="N139" s="21"/>
      <c r="O139" s="23"/>
    </row>
    <row r="140" customFormat="false" ht="15" hidden="false" customHeight="false" outlineLevel="0" collapsed="false">
      <c r="A140" s="1"/>
      <c r="B140" s="16"/>
      <c r="C140" s="17"/>
      <c r="D140" s="83"/>
      <c r="E140" s="18"/>
      <c r="F140" s="19" t="s">
        <v>18</v>
      </c>
      <c r="G140" s="17" t="n">
        <v>2</v>
      </c>
      <c r="H140" s="45" t="n">
        <v>6.2</v>
      </c>
      <c r="I140" s="17" t="n">
        <v>150</v>
      </c>
      <c r="J140" s="21" t="n">
        <f aca="false">I140*H140</f>
        <v>930</v>
      </c>
      <c r="K140" s="22"/>
      <c r="L140" s="22"/>
      <c r="M140" s="21"/>
      <c r="N140" s="21"/>
      <c r="O140" s="23"/>
    </row>
    <row r="141" customFormat="false" ht="15" hidden="false" customHeight="false" outlineLevel="0" collapsed="false">
      <c r="A141" s="1"/>
      <c r="B141" s="16"/>
      <c r="C141" s="17"/>
      <c r="D141" s="83"/>
      <c r="E141" s="18"/>
      <c r="F141" s="19" t="s">
        <v>58</v>
      </c>
      <c r="G141" s="17" t="n">
        <v>11</v>
      </c>
      <c r="H141" s="45" t="n">
        <v>10.58</v>
      </c>
      <c r="I141" s="17" t="n">
        <v>200</v>
      </c>
      <c r="J141" s="21" t="n">
        <f aca="false">I141*H141</f>
        <v>2116</v>
      </c>
      <c r="K141" s="22"/>
      <c r="L141" s="22"/>
      <c r="M141" s="21"/>
      <c r="N141" s="21"/>
      <c r="O141" s="23"/>
    </row>
    <row r="142" customFormat="false" ht="15" hidden="false" customHeight="false" outlineLevel="0" collapsed="false">
      <c r="A142" s="1"/>
      <c r="B142" s="16"/>
      <c r="C142" s="17"/>
      <c r="D142" s="83"/>
      <c r="E142" s="18"/>
      <c r="F142" s="19"/>
      <c r="G142" s="17"/>
      <c r="H142" s="20"/>
      <c r="I142" s="17"/>
      <c r="J142" s="21"/>
      <c r="K142" s="22"/>
      <c r="L142" s="22"/>
      <c r="M142" s="21"/>
      <c r="N142" s="21"/>
      <c r="O142" s="23"/>
    </row>
    <row r="143" customFormat="false" ht="15" hidden="false" customHeight="false" outlineLevel="0" collapsed="false">
      <c r="A143" s="1"/>
      <c r="B143" s="25"/>
      <c r="C143" s="26"/>
      <c r="D143" s="26"/>
      <c r="E143" s="27"/>
      <c r="F143" s="28"/>
      <c r="G143" s="28"/>
      <c r="H143" s="29"/>
      <c r="I143" s="26"/>
      <c r="J143" s="30"/>
      <c r="K143" s="27"/>
      <c r="L143" s="27"/>
      <c r="M143" s="27"/>
      <c r="N143" s="31"/>
      <c r="O143" s="32"/>
    </row>
    <row r="144" customFormat="false" ht="15" hidden="false" customHeight="false" outlineLevel="0" collapsed="false">
      <c r="A144" s="1"/>
      <c r="B144" s="33"/>
      <c r="C144" s="34"/>
      <c r="D144" s="34"/>
      <c r="E144" s="35" t="n">
        <f aca="false">SUM(E118:E143)</f>
        <v>437.52</v>
      </c>
      <c r="F144" s="34"/>
      <c r="G144" s="34" t="n">
        <f aca="false">SUM(G118:G143)</f>
        <v>13731</v>
      </c>
      <c r="H144" s="35" t="n">
        <f aca="false">SUM(H118:H143)</f>
        <v>129.38</v>
      </c>
      <c r="I144" s="34"/>
      <c r="J144" s="36" t="n">
        <f aca="false">SUM(J118:J143)</f>
        <v>1661560</v>
      </c>
      <c r="K144" s="35" t="n">
        <f aca="false">SUM(K118:K143)</f>
        <v>411.644</v>
      </c>
      <c r="L144" s="35" t="n">
        <f aca="false">SUM(L118:L143)</f>
        <v>331.81222</v>
      </c>
      <c r="M144" s="36" t="n">
        <f aca="false">SUM(M118:M143)</f>
        <v>5192197.61856</v>
      </c>
      <c r="N144" s="37" t="n">
        <f aca="false">SUM(N118:N143)</f>
        <v>133610.4</v>
      </c>
      <c r="O144" s="38" t="n">
        <f aca="false">SUM(O118:O143)</f>
        <v>6987368.01856</v>
      </c>
      <c r="P144" s="0" t="s">
        <v>23</v>
      </c>
      <c r="Q144" s="0" t="s">
        <v>67</v>
      </c>
    </row>
    <row r="146" customFormat="false" ht="14.25" hidden="false" customHeight="true" outlineLevel="0" collapsed="false">
      <c r="A146" s="1" t="n">
        <v>10</v>
      </c>
      <c r="B146" s="2" t="s">
        <v>0</v>
      </c>
      <c r="C146" s="3" t="s">
        <v>1</v>
      </c>
      <c r="D146" s="3" t="s">
        <v>2</v>
      </c>
      <c r="E146" s="4" t="s">
        <v>3</v>
      </c>
      <c r="F146" s="9" t="s">
        <v>4</v>
      </c>
      <c r="G146" s="9"/>
      <c r="H146" s="9"/>
      <c r="I146" s="9"/>
      <c r="J146" s="9"/>
      <c r="K146" s="3" t="s">
        <v>5</v>
      </c>
      <c r="L146" s="3" t="s">
        <v>6</v>
      </c>
      <c r="M146" s="4" t="s">
        <v>7</v>
      </c>
      <c r="N146" s="4" t="s">
        <v>8</v>
      </c>
      <c r="O146" s="6" t="s">
        <v>9</v>
      </c>
    </row>
    <row r="147" customFormat="false" ht="14.25" hidden="false" customHeight="false" outlineLevel="0" collapsed="false">
      <c r="A147" s="1"/>
      <c r="B147" s="2"/>
      <c r="C147" s="3"/>
      <c r="D147" s="3"/>
      <c r="E147" s="4"/>
      <c r="F147" s="7" t="s">
        <v>10</v>
      </c>
      <c r="G147" s="7" t="s">
        <v>11</v>
      </c>
      <c r="H147" s="7" t="s">
        <v>12</v>
      </c>
      <c r="I147" s="7" t="s">
        <v>13</v>
      </c>
      <c r="J147" s="7" t="s">
        <v>14</v>
      </c>
      <c r="K147" s="3"/>
      <c r="L147" s="3"/>
      <c r="M147" s="4"/>
      <c r="N147" s="4"/>
      <c r="O147" s="6"/>
    </row>
    <row r="148" customFormat="false" ht="15" hidden="false" customHeight="false" outlineLevel="0" collapsed="false">
      <c r="A148" s="1"/>
      <c r="B148" s="8" t="n">
        <v>1</v>
      </c>
      <c r="C148" s="9" t="s">
        <v>68</v>
      </c>
      <c r="D148" s="88"/>
      <c r="E148" s="10" t="n">
        <v>3.69</v>
      </c>
      <c r="F148" s="11" t="s">
        <v>38</v>
      </c>
      <c r="G148" s="9" t="n">
        <v>80</v>
      </c>
      <c r="H148" s="51" t="n">
        <v>0.42</v>
      </c>
      <c r="I148" s="9" t="n">
        <v>40000</v>
      </c>
      <c r="J148" s="13" t="n">
        <f aca="false">I148*H148</f>
        <v>16800</v>
      </c>
      <c r="K148" s="14" t="n">
        <f aca="false">E148-(H148+H149)/5</f>
        <v>3.606</v>
      </c>
      <c r="L148" s="14" t="n">
        <f aca="false">K148*80.5%</f>
        <v>2.90283</v>
      </c>
      <c r="M148" s="13" t="n">
        <f aca="false">L148*14432</f>
        <v>41893.64256</v>
      </c>
      <c r="N148" s="13" t="n">
        <f aca="false">K148*350</f>
        <v>1262.1</v>
      </c>
      <c r="O148" s="15" t="n">
        <f aca="false">N148+M148+J148+J149</f>
        <v>59955.74256</v>
      </c>
    </row>
    <row r="149" customFormat="false" ht="15" hidden="false" customHeight="false" outlineLevel="0" collapsed="false">
      <c r="A149" s="1"/>
      <c r="B149" s="16" t="s">
        <v>62</v>
      </c>
      <c r="C149" s="17"/>
      <c r="D149" s="83"/>
      <c r="E149" s="18"/>
      <c r="F149" s="19"/>
      <c r="G149" s="17"/>
      <c r="H149" s="81"/>
      <c r="I149" s="17"/>
      <c r="J149" s="21"/>
      <c r="K149" s="22"/>
      <c r="L149" s="22"/>
      <c r="M149" s="21"/>
      <c r="N149" s="21"/>
      <c r="O149" s="23"/>
    </row>
    <row r="150" customFormat="false" ht="15" hidden="false" customHeight="false" outlineLevel="0" collapsed="false">
      <c r="A150" s="1"/>
      <c r="B150" s="16"/>
      <c r="C150" s="17"/>
      <c r="D150" s="83"/>
      <c r="E150" s="18"/>
      <c r="F150" s="19"/>
      <c r="G150" s="17"/>
      <c r="H150" s="81"/>
      <c r="I150" s="17"/>
      <c r="J150" s="21"/>
      <c r="K150" s="22"/>
      <c r="L150" s="22"/>
      <c r="M150" s="21"/>
      <c r="N150" s="21"/>
      <c r="O150" s="23"/>
    </row>
    <row r="151" customFormat="false" ht="15" hidden="false" customHeight="false" outlineLevel="0" collapsed="false">
      <c r="A151" s="1"/>
      <c r="B151" s="16"/>
      <c r="C151" s="17"/>
      <c r="D151" s="83"/>
      <c r="E151" s="18"/>
      <c r="F151" s="19"/>
      <c r="G151" s="17"/>
      <c r="H151" s="81"/>
      <c r="I151" s="17"/>
      <c r="J151" s="21"/>
      <c r="K151" s="22"/>
      <c r="L151" s="22"/>
      <c r="M151" s="21"/>
      <c r="N151" s="21"/>
      <c r="O151" s="23"/>
    </row>
    <row r="152" customFormat="false" ht="15" hidden="false" customHeight="false" outlineLevel="0" collapsed="false">
      <c r="A152" s="1"/>
      <c r="B152" s="16" t="n">
        <v>2</v>
      </c>
      <c r="C152" s="17"/>
      <c r="D152" s="83"/>
      <c r="E152" s="24" t="n">
        <v>10.43</v>
      </c>
      <c r="F152" s="19" t="s">
        <v>16</v>
      </c>
      <c r="G152" s="17" t="n">
        <v>59</v>
      </c>
      <c r="H152" s="81" t="n">
        <v>0.42</v>
      </c>
      <c r="I152" s="17" t="n">
        <v>40000</v>
      </c>
      <c r="J152" s="21" t="n">
        <f aca="false">I152*H152</f>
        <v>16800</v>
      </c>
      <c r="K152" s="22" t="n">
        <f aca="false">E152-(H152+H153)/5</f>
        <v>10.184</v>
      </c>
      <c r="L152" s="22" t="n">
        <f aca="false">K152*80.5%</f>
        <v>8.19812</v>
      </c>
      <c r="M152" s="21" t="n">
        <f aca="false">L152*14432</f>
        <v>118315.26784</v>
      </c>
      <c r="N152" s="21" t="n">
        <f aca="false">K152*350</f>
        <v>3564.4</v>
      </c>
      <c r="O152" s="23" t="n">
        <f aca="false">N152+M152+J152+J153</f>
        <v>175129.66784</v>
      </c>
    </row>
    <row r="153" customFormat="false" ht="15" hidden="false" customHeight="false" outlineLevel="0" collapsed="false">
      <c r="A153" s="1"/>
      <c r="B153" s="16" t="s">
        <v>22</v>
      </c>
      <c r="C153" s="17"/>
      <c r="D153" s="83"/>
      <c r="E153" s="18"/>
      <c r="F153" s="19" t="s">
        <v>69</v>
      </c>
      <c r="G153" s="17" t="n">
        <v>16</v>
      </c>
      <c r="H153" s="81" t="n">
        <v>0.81</v>
      </c>
      <c r="I153" s="17" t="n">
        <v>45000</v>
      </c>
      <c r="J153" s="21" t="n">
        <f aca="false">I153*H153</f>
        <v>36450</v>
      </c>
      <c r="K153" s="22"/>
      <c r="L153" s="22"/>
      <c r="M153" s="21"/>
      <c r="N153" s="21"/>
      <c r="O153" s="23"/>
    </row>
    <row r="154" customFormat="false" ht="15" hidden="false" customHeight="false" outlineLevel="0" collapsed="false">
      <c r="A154" s="1"/>
      <c r="B154" s="16"/>
      <c r="C154" s="17"/>
      <c r="D154" s="83"/>
      <c r="E154" s="18"/>
      <c r="F154" s="19"/>
      <c r="G154" s="17"/>
      <c r="H154" s="81"/>
      <c r="I154" s="17"/>
      <c r="J154" s="21"/>
      <c r="K154" s="22"/>
      <c r="L154" s="22"/>
      <c r="M154" s="21"/>
      <c r="N154" s="21"/>
      <c r="O154" s="23"/>
    </row>
    <row r="155" customFormat="false" ht="15" hidden="false" customHeight="false" outlineLevel="0" collapsed="false">
      <c r="A155" s="1"/>
      <c r="B155" s="16"/>
      <c r="C155" s="17"/>
      <c r="D155" s="83"/>
      <c r="E155" s="18"/>
      <c r="F155" s="19"/>
      <c r="G155" s="17"/>
      <c r="H155" s="20"/>
      <c r="I155" s="17"/>
      <c r="J155" s="21"/>
      <c r="K155" s="22"/>
      <c r="L155" s="22"/>
      <c r="M155" s="21"/>
      <c r="N155" s="21"/>
      <c r="O155" s="23"/>
    </row>
    <row r="156" customFormat="false" ht="15" hidden="false" customHeight="false" outlineLevel="0" collapsed="false">
      <c r="A156" s="1"/>
      <c r="B156" s="16" t="n">
        <v>3</v>
      </c>
      <c r="C156" s="17"/>
      <c r="D156" s="83"/>
      <c r="E156" s="24" t="n">
        <v>7.99</v>
      </c>
      <c r="F156" s="19" t="s">
        <v>16</v>
      </c>
      <c r="G156" s="17" t="n">
        <v>83</v>
      </c>
      <c r="H156" s="81" t="n">
        <v>1.01</v>
      </c>
      <c r="I156" s="17" t="n">
        <v>40000</v>
      </c>
      <c r="J156" s="21" t="n">
        <f aca="false">I156*H156</f>
        <v>40400</v>
      </c>
      <c r="K156" s="22" t="n">
        <f aca="false">E156-(H156+H157)/5</f>
        <v>7.714</v>
      </c>
      <c r="L156" s="22" t="n">
        <f aca="false">K156*80.5%</f>
        <v>6.20977</v>
      </c>
      <c r="M156" s="21" t="n">
        <f aca="false">L156*14432</f>
        <v>89619.40064</v>
      </c>
      <c r="N156" s="21" t="n">
        <f aca="false">K156*350</f>
        <v>2699.9</v>
      </c>
      <c r="O156" s="23" t="n">
        <f aca="false">N156+M156+J156+J157</f>
        <v>151219.30064</v>
      </c>
    </row>
    <row r="157" customFormat="false" ht="15" hidden="false" customHeight="false" outlineLevel="0" collapsed="false">
      <c r="A157" s="1"/>
      <c r="B157" s="16" t="s">
        <v>22</v>
      </c>
      <c r="C157" s="17"/>
      <c r="D157" s="83"/>
      <c r="E157" s="18"/>
      <c r="F157" s="19" t="s">
        <v>16</v>
      </c>
      <c r="G157" s="17" t="n">
        <v>4</v>
      </c>
      <c r="H157" s="81" t="n">
        <v>0.37</v>
      </c>
      <c r="I157" s="17" t="n">
        <v>50000</v>
      </c>
      <c r="J157" s="21" t="n">
        <f aca="false">I157*H157</f>
        <v>18500</v>
      </c>
      <c r="K157" s="22"/>
      <c r="L157" s="22"/>
      <c r="M157" s="21"/>
      <c r="N157" s="21"/>
      <c r="O157" s="23"/>
    </row>
    <row r="158" customFormat="false" ht="15" hidden="false" customHeight="false" outlineLevel="0" collapsed="false">
      <c r="A158" s="1"/>
      <c r="B158" s="16"/>
      <c r="C158" s="17"/>
      <c r="D158" s="83"/>
      <c r="E158" s="18"/>
      <c r="F158" s="19"/>
      <c r="G158" s="17"/>
      <c r="H158" s="81"/>
      <c r="I158" s="17"/>
      <c r="J158" s="21"/>
      <c r="K158" s="22"/>
      <c r="L158" s="22"/>
      <c r="M158" s="21"/>
      <c r="N158" s="21"/>
      <c r="O158" s="23"/>
    </row>
    <row r="159" customFormat="false" ht="15" hidden="false" customHeight="false" outlineLevel="0" collapsed="false">
      <c r="A159" s="1"/>
      <c r="B159" s="16" t="n">
        <v>4</v>
      </c>
      <c r="C159" s="17"/>
      <c r="D159" s="83"/>
      <c r="E159" s="24" t="n">
        <v>1.25</v>
      </c>
      <c r="F159" s="19"/>
      <c r="G159" s="17"/>
      <c r="H159" s="81"/>
      <c r="I159" s="17"/>
      <c r="J159" s="21"/>
      <c r="K159" s="22" t="n">
        <f aca="false">E159-(H159+H160)/5</f>
        <v>1.25</v>
      </c>
      <c r="L159" s="22" t="n">
        <f aca="false">K159*80.5%</f>
        <v>1.00625</v>
      </c>
      <c r="M159" s="21" t="n">
        <f aca="false">L159*14432</f>
        <v>14522.2</v>
      </c>
      <c r="N159" s="21" t="n">
        <f aca="false">K159*350</f>
        <v>437.5</v>
      </c>
      <c r="O159" s="23" t="n">
        <f aca="false">N159+M159+J159</f>
        <v>14959.7</v>
      </c>
    </row>
    <row r="160" customFormat="false" ht="15" hidden="false" customHeight="false" outlineLevel="0" collapsed="false">
      <c r="A160" s="1"/>
      <c r="B160" s="16" t="s">
        <v>22</v>
      </c>
      <c r="C160" s="7"/>
      <c r="D160" s="89"/>
      <c r="E160" s="39"/>
      <c r="F160" s="40"/>
      <c r="G160" s="7"/>
      <c r="H160" s="90"/>
      <c r="I160" s="7"/>
      <c r="J160" s="42"/>
      <c r="K160" s="43"/>
      <c r="L160" s="43"/>
      <c r="M160" s="42"/>
      <c r="N160" s="42"/>
      <c r="O160" s="44"/>
    </row>
    <row r="161" customFormat="false" ht="15" hidden="false" customHeight="false" outlineLevel="0" collapsed="false">
      <c r="A161" s="1"/>
      <c r="B161" s="86"/>
      <c r="C161" s="7"/>
      <c r="D161" s="89"/>
      <c r="E161" s="39"/>
      <c r="F161" s="40"/>
      <c r="G161" s="7"/>
      <c r="H161" s="90"/>
      <c r="I161" s="7"/>
      <c r="J161" s="42"/>
      <c r="K161" s="43"/>
      <c r="L161" s="43"/>
      <c r="M161" s="42"/>
      <c r="N161" s="42"/>
      <c r="O161" s="44"/>
    </row>
    <row r="162" customFormat="false" ht="15" hidden="false" customHeight="false" outlineLevel="0" collapsed="false">
      <c r="A162" s="1"/>
      <c r="B162" s="86"/>
      <c r="C162" s="7"/>
      <c r="D162" s="89"/>
      <c r="E162" s="39"/>
      <c r="F162" s="40"/>
      <c r="G162" s="7"/>
      <c r="H162" s="90"/>
      <c r="I162" s="7"/>
      <c r="J162" s="42"/>
      <c r="K162" s="43"/>
      <c r="L162" s="43"/>
      <c r="M162" s="42"/>
      <c r="N162" s="42"/>
      <c r="O162" s="44"/>
    </row>
    <row r="163" customFormat="false" ht="15" hidden="false" customHeight="false" outlineLevel="0" collapsed="false">
      <c r="A163" s="1"/>
      <c r="B163" s="25"/>
      <c r="C163" s="26"/>
      <c r="D163" s="26"/>
      <c r="E163" s="27"/>
      <c r="F163" s="28"/>
      <c r="G163" s="28"/>
      <c r="H163" s="29"/>
      <c r="I163" s="26"/>
      <c r="J163" s="30"/>
      <c r="K163" s="27"/>
      <c r="L163" s="27"/>
      <c r="M163" s="27"/>
      <c r="N163" s="31"/>
      <c r="O163" s="32"/>
    </row>
    <row r="164" customFormat="false" ht="15" hidden="false" customHeight="false" outlineLevel="0" collapsed="false">
      <c r="A164" s="1"/>
      <c r="B164" s="33"/>
      <c r="C164" s="34"/>
      <c r="D164" s="34"/>
      <c r="E164" s="35" t="n">
        <f aca="false">SUM(E148:E163)</f>
        <v>23.36</v>
      </c>
      <c r="F164" s="34"/>
      <c r="G164" s="34" t="n">
        <f aca="false">SUM(G148:G163)</f>
        <v>242</v>
      </c>
      <c r="H164" s="35" t="n">
        <f aca="false">SUM(H148:H163)</f>
        <v>3.03</v>
      </c>
      <c r="I164" s="34"/>
      <c r="J164" s="36" t="n">
        <f aca="false">SUM(J148:J163)</f>
        <v>128950</v>
      </c>
      <c r="K164" s="35" t="n">
        <f aca="false">SUM(K148:K163)</f>
        <v>22.754</v>
      </c>
      <c r="L164" s="35" t="n">
        <f aca="false">SUM(L148:L163)</f>
        <v>18.31697</v>
      </c>
      <c r="M164" s="36" t="n">
        <f aca="false">SUM(M148:M163)</f>
        <v>264350.51104</v>
      </c>
      <c r="N164" s="37" t="n">
        <f aca="false">SUM(N148:N163)</f>
        <v>7963.9</v>
      </c>
      <c r="O164" s="38" t="n">
        <f aca="false">SUM(O148:O163)</f>
        <v>401264.41104</v>
      </c>
      <c r="P164" s="0" t="s">
        <v>23</v>
      </c>
      <c r="Q164" s="0" t="s">
        <v>67</v>
      </c>
    </row>
    <row r="166" customFormat="false" ht="14.25" hidden="false" customHeight="true" outlineLevel="0" collapsed="false">
      <c r="A166" s="1" t="n">
        <v>11</v>
      </c>
      <c r="B166" s="2" t="s">
        <v>0</v>
      </c>
      <c r="C166" s="3" t="s">
        <v>1</v>
      </c>
      <c r="D166" s="3" t="s">
        <v>2</v>
      </c>
      <c r="E166" s="4" t="s">
        <v>3</v>
      </c>
      <c r="F166" s="9" t="s">
        <v>4</v>
      </c>
      <c r="G166" s="9"/>
      <c r="H166" s="9"/>
      <c r="I166" s="9"/>
      <c r="J166" s="9"/>
      <c r="K166" s="3" t="s">
        <v>5</v>
      </c>
      <c r="L166" s="3" t="s">
        <v>6</v>
      </c>
      <c r="M166" s="4" t="s">
        <v>7</v>
      </c>
      <c r="N166" s="4" t="s">
        <v>8</v>
      </c>
      <c r="O166" s="6" t="s">
        <v>9</v>
      </c>
    </row>
    <row r="167" customFormat="false" ht="14.25" hidden="false" customHeight="false" outlineLevel="0" collapsed="false">
      <c r="A167" s="1"/>
      <c r="B167" s="2"/>
      <c r="C167" s="3"/>
      <c r="D167" s="3"/>
      <c r="E167" s="4"/>
      <c r="F167" s="7" t="s">
        <v>10</v>
      </c>
      <c r="G167" s="7" t="s">
        <v>11</v>
      </c>
      <c r="H167" s="7" t="s">
        <v>12</v>
      </c>
      <c r="I167" s="7" t="s">
        <v>13</v>
      </c>
      <c r="J167" s="7" t="s">
        <v>14</v>
      </c>
      <c r="K167" s="3"/>
      <c r="L167" s="3"/>
      <c r="M167" s="4"/>
      <c r="N167" s="4"/>
      <c r="O167" s="6"/>
    </row>
    <row r="168" customFormat="false" ht="15" hidden="false" customHeight="false" outlineLevel="0" collapsed="false">
      <c r="A168" s="1"/>
      <c r="B168" s="8" t="n">
        <v>1</v>
      </c>
      <c r="C168" s="9" t="s">
        <v>36</v>
      </c>
      <c r="D168" s="88"/>
      <c r="E168" s="10" t="n">
        <v>3.52</v>
      </c>
      <c r="F168" s="11" t="s">
        <v>70</v>
      </c>
      <c r="G168" s="9" t="n">
        <v>1</v>
      </c>
      <c r="H168" s="51" t="n">
        <v>0.9</v>
      </c>
      <c r="I168" s="9" t="n">
        <v>217811</v>
      </c>
      <c r="J168" s="13" t="n">
        <f aca="false">I168*H168</f>
        <v>196029.9</v>
      </c>
      <c r="K168" s="14" t="n">
        <f aca="false">E168-(H168+H169)/5</f>
        <v>3.34</v>
      </c>
      <c r="L168" s="14" t="n">
        <f aca="false">K168*80.5%</f>
        <v>2.6887</v>
      </c>
      <c r="M168" s="13" t="n">
        <f aca="false">L168*14432</f>
        <v>38803.3184</v>
      </c>
      <c r="N168" s="13" t="n">
        <f aca="false">K168*350</f>
        <v>1169</v>
      </c>
      <c r="O168" s="15" t="n">
        <f aca="false">N168+M168+J168+J169</f>
        <v>236002.2184</v>
      </c>
    </row>
    <row r="169" customFormat="false" ht="15" hidden="false" customHeight="false" outlineLevel="0" collapsed="false">
      <c r="A169" s="1"/>
      <c r="B169" s="16" t="s">
        <v>62</v>
      </c>
      <c r="C169" s="17"/>
      <c r="D169" s="83"/>
      <c r="E169" s="18"/>
      <c r="F169" s="19"/>
      <c r="G169" s="17"/>
      <c r="H169" s="81"/>
      <c r="I169" s="17"/>
      <c r="J169" s="21"/>
      <c r="K169" s="22"/>
      <c r="L169" s="22"/>
      <c r="M169" s="21"/>
      <c r="N169" s="21"/>
      <c r="O169" s="23"/>
    </row>
    <row r="170" customFormat="false" ht="15" hidden="false" customHeight="false" outlineLevel="0" collapsed="false">
      <c r="A170" s="1"/>
      <c r="B170" s="16"/>
      <c r="C170" s="17"/>
      <c r="D170" s="83"/>
      <c r="E170" s="18"/>
      <c r="F170" s="19"/>
      <c r="G170" s="17"/>
      <c r="H170" s="81"/>
      <c r="I170" s="17"/>
      <c r="J170" s="21"/>
      <c r="K170" s="22"/>
      <c r="L170" s="22"/>
      <c r="M170" s="21"/>
      <c r="N170" s="21"/>
      <c r="O170" s="23"/>
    </row>
    <row r="171" customFormat="false" ht="15" hidden="false" customHeight="false" outlineLevel="0" collapsed="false">
      <c r="A171" s="1"/>
      <c r="B171" s="25"/>
      <c r="C171" s="26"/>
      <c r="D171" s="26"/>
      <c r="E171" s="27"/>
      <c r="F171" s="28"/>
      <c r="G171" s="28"/>
      <c r="H171" s="29"/>
      <c r="I171" s="26"/>
      <c r="J171" s="30"/>
      <c r="K171" s="27"/>
      <c r="L171" s="27"/>
      <c r="M171" s="27"/>
      <c r="N171" s="31"/>
      <c r="O171" s="32"/>
    </row>
    <row r="172" customFormat="false" ht="15" hidden="false" customHeight="false" outlineLevel="0" collapsed="false">
      <c r="A172" s="1"/>
      <c r="B172" s="33"/>
      <c r="C172" s="34"/>
      <c r="D172" s="34"/>
      <c r="E172" s="35" t="n">
        <f aca="false">SUM(E168:E171)</f>
        <v>3.52</v>
      </c>
      <c r="F172" s="34"/>
      <c r="G172" s="34" t="n">
        <f aca="false">SUM(G168:G171)</f>
        <v>1</v>
      </c>
      <c r="H172" s="35" t="n">
        <f aca="false">SUM(H168:H171)</f>
        <v>0.9</v>
      </c>
      <c r="I172" s="34"/>
      <c r="J172" s="36" t="n">
        <f aca="false">SUM(J168:J171)</f>
        <v>196029.9</v>
      </c>
      <c r="K172" s="35" t="n">
        <f aca="false">SUM(K168:K171)</f>
        <v>3.34</v>
      </c>
      <c r="L172" s="35" t="n">
        <f aca="false">SUM(L168:L171)</f>
        <v>2.6887</v>
      </c>
      <c r="M172" s="36" t="n">
        <f aca="false">SUM(M168:M171)</f>
        <v>38803.3184</v>
      </c>
      <c r="N172" s="37" t="n">
        <f aca="false">SUM(N168:N171)</f>
        <v>1169</v>
      </c>
      <c r="O172" s="38" t="n">
        <f aca="false">SUM(O168:O171)</f>
        <v>236002.2184</v>
      </c>
      <c r="P172" s="0" t="s">
        <v>23</v>
      </c>
      <c r="Q172" s="0" t="s">
        <v>67</v>
      </c>
    </row>
    <row r="174" customFormat="false" ht="14.25" hidden="false" customHeight="true" outlineLevel="0" collapsed="false">
      <c r="A174" s="1" t="n">
        <v>12</v>
      </c>
      <c r="B174" s="2" t="s">
        <v>0</v>
      </c>
      <c r="C174" s="3" t="s">
        <v>1</v>
      </c>
      <c r="D174" s="3" t="s">
        <v>2</v>
      </c>
      <c r="E174" s="4" t="s">
        <v>3</v>
      </c>
      <c r="F174" s="9" t="s">
        <v>4</v>
      </c>
      <c r="G174" s="9"/>
      <c r="H174" s="9"/>
      <c r="I174" s="9"/>
      <c r="J174" s="9"/>
      <c r="K174" s="3" t="s">
        <v>5</v>
      </c>
      <c r="L174" s="3" t="s">
        <v>6</v>
      </c>
      <c r="M174" s="4" t="s">
        <v>7</v>
      </c>
      <c r="N174" s="4" t="s">
        <v>8</v>
      </c>
      <c r="O174" s="6" t="s">
        <v>9</v>
      </c>
    </row>
    <row r="175" customFormat="false" ht="14.25" hidden="false" customHeight="false" outlineLevel="0" collapsed="false">
      <c r="A175" s="1"/>
      <c r="B175" s="2"/>
      <c r="C175" s="3"/>
      <c r="D175" s="3"/>
      <c r="E175" s="4"/>
      <c r="F175" s="7" t="s">
        <v>10</v>
      </c>
      <c r="G175" s="7" t="s">
        <v>11</v>
      </c>
      <c r="H175" s="7" t="s">
        <v>12</v>
      </c>
      <c r="I175" s="7" t="s">
        <v>13</v>
      </c>
      <c r="J175" s="7" t="s">
        <v>14</v>
      </c>
      <c r="K175" s="3"/>
      <c r="L175" s="3"/>
      <c r="M175" s="4"/>
      <c r="N175" s="4"/>
      <c r="O175" s="6"/>
    </row>
    <row r="176" customFormat="false" ht="15" hidden="false" customHeight="false" outlineLevel="0" collapsed="false">
      <c r="A176" s="1"/>
      <c r="B176" s="8" t="n">
        <v>1</v>
      </c>
      <c r="C176" s="9" t="s">
        <v>36</v>
      </c>
      <c r="D176" s="88" t="s">
        <v>71</v>
      </c>
      <c r="E176" s="10" t="n">
        <v>35.35</v>
      </c>
      <c r="F176" s="11" t="s">
        <v>16</v>
      </c>
      <c r="G176" s="9" t="n">
        <v>890</v>
      </c>
      <c r="H176" s="51" t="n">
        <v>2.97</v>
      </c>
      <c r="I176" s="9" t="n">
        <v>40000</v>
      </c>
      <c r="J176" s="13" t="n">
        <f aca="false">I176*H176</f>
        <v>118800</v>
      </c>
      <c r="K176" s="14" t="n">
        <f aca="false">E176-(H176+H177+H178+H179)/5</f>
        <v>31.28</v>
      </c>
      <c r="L176" s="14" t="n">
        <f aca="false">K176*80.5%</f>
        <v>25.1804</v>
      </c>
      <c r="M176" s="13" t="n">
        <f aca="false">L176*14432</f>
        <v>363403.5328</v>
      </c>
      <c r="N176" s="13" t="n">
        <f aca="false">K176*350</f>
        <v>10948</v>
      </c>
      <c r="O176" s="15" t="n">
        <f aca="false">N176+M176+J176+J177+J178+J179</f>
        <v>512945.5328</v>
      </c>
    </row>
    <row r="177" customFormat="false" ht="15" hidden="false" customHeight="false" outlineLevel="0" collapsed="false">
      <c r="A177" s="1"/>
      <c r="B177" s="16" t="s">
        <v>62</v>
      </c>
      <c r="C177" s="17"/>
      <c r="D177" s="83"/>
      <c r="E177" s="18"/>
      <c r="F177" s="19" t="s">
        <v>16</v>
      </c>
      <c r="G177" s="17" t="n">
        <v>40</v>
      </c>
      <c r="H177" s="81" t="n">
        <v>0.41</v>
      </c>
      <c r="I177" s="17" t="n">
        <v>40000</v>
      </c>
      <c r="J177" s="21" t="n">
        <f aca="false">I177*H177</f>
        <v>16400</v>
      </c>
      <c r="K177" s="22"/>
      <c r="L177" s="22"/>
      <c r="M177" s="21"/>
      <c r="N177" s="21"/>
      <c r="O177" s="23"/>
    </row>
    <row r="178" customFormat="false" ht="15" hidden="false" customHeight="false" outlineLevel="0" collapsed="false">
      <c r="A178" s="1"/>
      <c r="B178" s="16"/>
      <c r="C178" s="17"/>
      <c r="D178" s="83"/>
      <c r="E178" s="18"/>
      <c r="F178" s="19" t="s">
        <v>18</v>
      </c>
      <c r="G178" s="17" t="n">
        <v>4</v>
      </c>
      <c r="H178" s="81" t="n">
        <v>8.14</v>
      </c>
      <c r="I178" s="17" t="n">
        <v>200</v>
      </c>
      <c r="J178" s="21" t="n">
        <f aca="false">I178*H178</f>
        <v>1628</v>
      </c>
      <c r="K178" s="22"/>
      <c r="L178" s="22"/>
      <c r="M178" s="21"/>
      <c r="N178" s="21"/>
      <c r="O178" s="23"/>
    </row>
    <row r="179" customFormat="false" ht="15" hidden="false" customHeight="false" outlineLevel="0" collapsed="false">
      <c r="A179" s="1"/>
      <c r="B179" s="16"/>
      <c r="C179" s="17"/>
      <c r="D179" s="83"/>
      <c r="E179" s="18"/>
      <c r="F179" s="19" t="s">
        <v>58</v>
      </c>
      <c r="G179" s="17" t="n">
        <v>4</v>
      </c>
      <c r="H179" s="81" t="n">
        <v>8.83</v>
      </c>
      <c r="I179" s="17" t="n">
        <v>200</v>
      </c>
      <c r="J179" s="21" t="n">
        <f aca="false">I179*H179</f>
        <v>1766</v>
      </c>
      <c r="K179" s="22"/>
      <c r="L179" s="22"/>
      <c r="M179" s="21"/>
      <c r="N179" s="21"/>
      <c r="O179" s="23"/>
    </row>
    <row r="180" customFormat="false" ht="15" hidden="false" customHeight="false" outlineLevel="0" collapsed="false">
      <c r="A180" s="1"/>
      <c r="B180" s="16"/>
      <c r="C180" s="17"/>
      <c r="D180" s="83"/>
      <c r="E180" s="18"/>
      <c r="F180" s="19"/>
      <c r="G180" s="17"/>
      <c r="H180" s="81"/>
      <c r="I180" s="17"/>
      <c r="J180" s="21"/>
      <c r="K180" s="22"/>
      <c r="L180" s="22"/>
      <c r="M180" s="21"/>
      <c r="N180" s="21"/>
      <c r="O180" s="23"/>
    </row>
    <row r="181" customFormat="false" ht="15" hidden="false" customHeight="false" outlineLevel="0" collapsed="false">
      <c r="A181" s="1"/>
      <c r="B181" s="16" t="n">
        <v>2</v>
      </c>
      <c r="C181" s="17"/>
      <c r="D181" s="83" t="s">
        <v>72</v>
      </c>
      <c r="E181" s="24" t="n">
        <v>13.55</v>
      </c>
      <c r="F181" s="19" t="s">
        <v>16</v>
      </c>
      <c r="G181" s="17" t="n">
        <v>278</v>
      </c>
      <c r="H181" s="81" t="n">
        <v>0.94</v>
      </c>
      <c r="I181" s="17" t="n">
        <v>40000</v>
      </c>
      <c r="J181" s="21" t="n">
        <f aca="false">I181*H181</f>
        <v>37600</v>
      </c>
      <c r="K181" s="22" t="n">
        <f aca="false">E181-(H181+H182+H183+H184)/5</f>
        <v>11.832</v>
      </c>
      <c r="L181" s="22" t="n">
        <f aca="false">K181*80.5%</f>
        <v>9.52476</v>
      </c>
      <c r="M181" s="21" t="n">
        <f aca="false">L181*14432</f>
        <v>137461.33632</v>
      </c>
      <c r="N181" s="21" t="n">
        <f aca="false">K181*350</f>
        <v>4141.2</v>
      </c>
      <c r="O181" s="23" t="n">
        <f aca="false">N181+M181+J181+J182+J183+J184</f>
        <v>185508.53632</v>
      </c>
    </row>
    <row r="182" customFormat="false" ht="15" hidden="false" customHeight="false" outlineLevel="0" collapsed="false">
      <c r="A182" s="1"/>
      <c r="B182" s="16" t="s">
        <v>62</v>
      </c>
      <c r="C182" s="17"/>
      <c r="D182" s="83"/>
      <c r="E182" s="18"/>
      <c r="F182" s="19" t="s">
        <v>16</v>
      </c>
      <c r="G182" s="17" t="n">
        <v>11</v>
      </c>
      <c r="H182" s="81" t="n">
        <v>0.12</v>
      </c>
      <c r="I182" s="17" t="n">
        <v>40000</v>
      </c>
      <c r="J182" s="21" t="n">
        <f aca="false">I182*H182</f>
        <v>4800</v>
      </c>
      <c r="K182" s="22"/>
      <c r="L182" s="22"/>
      <c r="M182" s="21"/>
      <c r="N182" s="21"/>
      <c r="O182" s="23"/>
    </row>
    <row r="183" customFormat="false" ht="15" hidden="false" customHeight="false" outlineLevel="0" collapsed="false">
      <c r="A183" s="1"/>
      <c r="B183" s="16"/>
      <c r="C183" s="17"/>
      <c r="D183" s="83"/>
      <c r="E183" s="18"/>
      <c r="F183" s="19" t="s">
        <v>18</v>
      </c>
      <c r="G183" s="17" t="n">
        <v>6</v>
      </c>
      <c r="H183" s="81" t="n">
        <v>4.53</v>
      </c>
      <c r="I183" s="17" t="n">
        <v>200</v>
      </c>
      <c r="J183" s="21" t="n">
        <f aca="false">I183*H183</f>
        <v>906</v>
      </c>
      <c r="K183" s="22"/>
      <c r="L183" s="22"/>
      <c r="M183" s="21"/>
      <c r="N183" s="21"/>
      <c r="O183" s="23"/>
    </row>
    <row r="184" customFormat="false" ht="15" hidden="false" customHeight="false" outlineLevel="0" collapsed="false">
      <c r="A184" s="1"/>
      <c r="B184" s="16"/>
      <c r="C184" s="17"/>
      <c r="D184" s="83"/>
      <c r="E184" s="18"/>
      <c r="F184" s="19" t="s">
        <v>58</v>
      </c>
      <c r="G184" s="17" t="n">
        <v>1</v>
      </c>
      <c r="H184" s="81" t="n">
        <v>3</v>
      </c>
      <c r="I184" s="17" t="n">
        <v>200</v>
      </c>
      <c r="J184" s="21" t="n">
        <f aca="false">I184*H184</f>
        <v>600</v>
      </c>
      <c r="K184" s="22"/>
      <c r="L184" s="22"/>
      <c r="M184" s="21"/>
      <c r="N184" s="21"/>
      <c r="O184" s="23"/>
    </row>
    <row r="185" customFormat="false" ht="15" hidden="false" customHeight="false" outlineLevel="0" collapsed="false">
      <c r="A185" s="1"/>
      <c r="B185" s="16"/>
      <c r="C185" s="17"/>
      <c r="D185" s="83"/>
      <c r="E185" s="18"/>
      <c r="F185" s="19"/>
      <c r="G185" s="17"/>
      <c r="H185" s="81"/>
      <c r="I185" s="17"/>
      <c r="J185" s="21"/>
      <c r="K185" s="22"/>
      <c r="L185" s="22"/>
      <c r="M185" s="21"/>
      <c r="N185" s="21"/>
      <c r="O185" s="23"/>
    </row>
    <row r="186" customFormat="false" ht="15" hidden="false" customHeight="false" outlineLevel="0" collapsed="false">
      <c r="A186" s="1"/>
      <c r="B186" s="16" t="n">
        <v>3</v>
      </c>
      <c r="C186" s="17"/>
      <c r="D186" s="83" t="s">
        <v>65</v>
      </c>
      <c r="E186" s="24" t="n">
        <v>152.67</v>
      </c>
      <c r="F186" s="19" t="s">
        <v>16</v>
      </c>
      <c r="G186" s="17" t="n">
        <v>4070</v>
      </c>
      <c r="H186" s="81" t="n">
        <v>12.45</v>
      </c>
      <c r="I186" s="17" t="n">
        <v>40000</v>
      </c>
      <c r="J186" s="21" t="n">
        <f aca="false">I186*H186</f>
        <v>498000</v>
      </c>
      <c r="K186" s="22" t="n">
        <f aca="false">E186-(H186+H187+H188+H189)/5</f>
        <v>140.854</v>
      </c>
      <c r="L186" s="22" t="n">
        <f aca="false">K186*80.5%</f>
        <v>113.38747</v>
      </c>
      <c r="M186" s="21" t="n">
        <f aca="false">L186*14432</f>
        <v>1636407.96704</v>
      </c>
      <c r="N186" s="21" t="n">
        <f aca="false">K186*350</f>
        <v>49298.9</v>
      </c>
      <c r="O186" s="23" t="n">
        <f aca="false">N186+M186+J186+J187+J188+J189</f>
        <v>2255518.86704</v>
      </c>
    </row>
    <row r="187" customFormat="false" ht="15" hidden="false" customHeight="false" outlineLevel="0" collapsed="false">
      <c r="A187" s="1"/>
      <c r="B187" s="16" t="s">
        <v>62</v>
      </c>
      <c r="C187" s="17"/>
      <c r="D187" s="83"/>
      <c r="E187" s="18"/>
      <c r="F187" s="19" t="s">
        <v>16</v>
      </c>
      <c r="G187" s="17" t="n">
        <v>142</v>
      </c>
      <c r="H187" s="81" t="n">
        <v>1.57</v>
      </c>
      <c r="I187" s="17" t="n">
        <v>40000</v>
      </c>
      <c r="J187" s="21" t="n">
        <f aca="false">I187*H187</f>
        <v>62800</v>
      </c>
      <c r="K187" s="22"/>
      <c r="L187" s="22"/>
      <c r="M187" s="21"/>
      <c r="N187" s="21"/>
      <c r="O187" s="23"/>
    </row>
    <row r="188" customFormat="false" ht="15" hidden="false" customHeight="false" outlineLevel="0" collapsed="false">
      <c r="A188" s="1"/>
      <c r="B188" s="16"/>
      <c r="C188" s="17"/>
      <c r="D188" s="83"/>
      <c r="E188" s="18"/>
      <c r="F188" s="19" t="s">
        <v>18</v>
      </c>
      <c r="G188" s="17" t="n">
        <f aca="false">20+2</f>
        <v>22</v>
      </c>
      <c r="H188" s="81" t="n">
        <f aca="false">27.68+0.73</f>
        <v>28.41</v>
      </c>
      <c r="I188" s="17" t="n">
        <v>200</v>
      </c>
      <c r="J188" s="21" t="n">
        <f aca="false">I188*H188</f>
        <v>5682</v>
      </c>
      <c r="K188" s="22"/>
      <c r="L188" s="22"/>
      <c r="M188" s="21"/>
      <c r="N188" s="21"/>
      <c r="O188" s="23"/>
    </row>
    <row r="189" customFormat="false" ht="15" hidden="false" customHeight="false" outlineLevel="0" collapsed="false">
      <c r="A189" s="1"/>
      <c r="B189" s="16"/>
      <c r="C189" s="17"/>
      <c r="D189" s="83"/>
      <c r="E189" s="18"/>
      <c r="F189" s="19" t="s">
        <v>58</v>
      </c>
      <c r="G189" s="17" t="n">
        <v>2</v>
      </c>
      <c r="H189" s="81" t="n">
        <v>16.65</v>
      </c>
      <c r="I189" s="17" t="n">
        <v>200</v>
      </c>
      <c r="J189" s="21" t="n">
        <f aca="false">I189*H189</f>
        <v>3330</v>
      </c>
      <c r="K189" s="22"/>
      <c r="L189" s="22"/>
      <c r="M189" s="21"/>
      <c r="N189" s="21"/>
      <c r="O189" s="23"/>
    </row>
    <row r="190" customFormat="false" ht="15" hidden="false" customHeight="false" outlineLevel="0" collapsed="false">
      <c r="A190" s="1"/>
      <c r="B190" s="16"/>
      <c r="C190" s="17"/>
      <c r="D190" s="83"/>
      <c r="E190" s="18"/>
      <c r="F190" s="19"/>
      <c r="G190" s="17"/>
      <c r="H190" s="81"/>
      <c r="I190" s="17"/>
      <c r="J190" s="21"/>
      <c r="K190" s="22"/>
      <c r="L190" s="22"/>
      <c r="M190" s="21"/>
      <c r="N190" s="21"/>
      <c r="O190" s="23"/>
    </row>
    <row r="191" customFormat="false" ht="15" hidden="false" customHeight="false" outlineLevel="0" collapsed="false">
      <c r="A191" s="1"/>
      <c r="B191" s="16"/>
      <c r="C191" s="17"/>
      <c r="D191" s="83"/>
      <c r="E191" s="18"/>
      <c r="F191" s="19"/>
      <c r="G191" s="17"/>
      <c r="H191" s="81"/>
      <c r="I191" s="17"/>
      <c r="J191" s="21"/>
      <c r="K191" s="22"/>
      <c r="L191" s="22"/>
      <c r="M191" s="21"/>
      <c r="N191" s="21"/>
      <c r="O191" s="23"/>
    </row>
    <row r="192" customFormat="false" ht="15" hidden="false" customHeight="false" outlineLevel="0" collapsed="false">
      <c r="A192" s="1"/>
      <c r="B192" s="16"/>
      <c r="C192" s="17"/>
      <c r="D192" s="83"/>
      <c r="E192" s="18"/>
      <c r="F192" s="19"/>
      <c r="G192" s="17"/>
      <c r="H192" s="81"/>
      <c r="I192" s="17"/>
      <c r="J192" s="21"/>
      <c r="K192" s="22"/>
      <c r="L192" s="22"/>
      <c r="M192" s="21"/>
      <c r="N192" s="21"/>
      <c r="O192" s="23"/>
    </row>
    <row r="193" customFormat="false" ht="15" hidden="false" customHeight="false" outlineLevel="0" collapsed="false">
      <c r="A193" s="1"/>
      <c r="B193" s="16"/>
      <c r="C193" s="17"/>
      <c r="D193" s="83"/>
      <c r="E193" s="18"/>
      <c r="F193" s="19"/>
      <c r="G193" s="17"/>
      <c r="H193" s="81"/>
      <c r="I193" s="17"/>
      <c r="J193" s="21"/>
      <c r="K193" s="22"/>
      <c r="L193" s="22"/>
      <c r="M193" s="21"/>
      <c r="N193" s="21"/>
      <c r="O193" s="23"/>
    </row>
    <row r="194" customFormat="false" ht="15" hidden="false" customHeight="false" outlineLevel="0" collapsed="false">
      <c r="A194" s="1"/>
      <c r="B194" s="16"/>
      <c r="C194" s="17"/>
      <c r="D194" s="83"/>
      <c r="E194" s="18"/>
      <c r="F194" s="19"/>
      <c r="G194" s="17"/>
      <c r="H194" s="81"/>
      <c r="I194" s="17"/>
      <c r="J194" s="21"/>
      <c r="K194" s="22"/>
      <c r="L194" s="22"/>
      <c r="M194" s="21"/>
      <c r="N194" s="21"/>
      <c r="O194" s="23"/>
    </row>
    <row r="195" customFormat="false" ht="15" hidden="false" customHeight="false" outlineLevel="0" collapsed="false">
      <c r="A195" s="1"/>
      <c r="B195" s="25"/>
      <c r="C195" s="26"/>
      <c r="D195" s="26"/>
      <c r="E195" s="27"/>
      <c r="F195" s="28"/>
      <c r="G195" s="28"/>
      <c r="H195" s="29"/>
      <c r="I195" s="26"/>
      <c r="J195" s="30"/>
      <c r="K195" s="27"/>
      <c r="L195" s="27"/>
      <c r="M195" s="27"/>
      <c r="N195" s="31"/>
      <c r="O195" s="32"/>
    </row>
    <row r="196" customFormat="false" ht="15" hidden="false" customHeight="false" outlineLevel="0" collapsed="false">
      <c r="A196" s="1"/>
      <c r="B196" s="33"/>
      <c r="C196" s="34"/>
      <c r="D196" s="34"/>
      <c r="E196" s="35" t="n">
        <f aca="false">SUM(E176:E195)</f>
        <v>201.57</v>
      </c>
      <c r="F196" s="34"/>
      <c r="G196" s="34" t="n">
        <f aca="false">SUM(G176:G195)</f>
        <v>5470</v>
      </c>
      <c r="H196" s="35" t="n">
        <f aca="false">SUM(H176:H195)</f>
        <v>88.02</v>
      </c>
      <c r="I196" s="34"/>
      <c r="J196" s="36" t="n">
        <f aca="false">SUM(J176:J195)</f>
        <v>752312</v>
      </c>
      <c r="K196" s="35" t="n">
        <f aca="false">SUM(K176:K195)</f>
        <v>183.966</v>
      </c>
      <c r="L196" s="35" t="n">
        <f aca="false">SUM(L176:L195)</f>
        <v>148.09263</v>
      </c>
      <c r="M196" s="36" t="n">
        <f aca="false">SUM(M176:M195)</f>
        <v>2137272.83616</v>
      </c>
      <c r="N196" s="37" t="n">
        <f aca="false">SUM(N176:N195)</f>
        <v>64388.1</v>
      </c>
      <c r="O196" s="38" t="n">
        <f aca="false">SUM(O176:O195)</f>
        <v>2953972.93616</v>
      </c>
    </row>
  </sheetData>
  <mergeCells count="132">
    <mergeCell ref="A2:A14"/>
    <mergeCell ref="B2:B3"/>
    <mergeCell ref="C2:C3"/>
    <mergeCell ref="D2:D3"/>
    <mergeCell ref="E2:E3"/>
    <mergeCell ref="F2:J2"/>
    <mergeCell ref="K2:K3"/>
    <mergeCell ref="L2:L3"/>
    <mergeCell ref="M2:M3"/>
    <mergeCell ref="N2:N3"/>
    <mergeCell ref="O2:O3"/>
    <mergeCell ref="A16:A28"/>
    <mergeCell ref="B16:B17"/>
    <mergeCell ref="C16:C17"/>
    <mergeCell ref="D16:D17"/>
    <mergeCell ref="E16:E17"/>
    <mergeCell ref="F16:J16"/>
    <mergeCell ref="K16:K17"/>
    <mergeCell ref="L16:L17"/>
    <mergeCell ref="M16:M17"/>
    <mergeCell ref="N16:N17"/>
    <mergeCell ref="O16:O17"/>
    <mergeCell ref="A30:A45"/>
    <mergeCell ref="B30:B31"/>
    <mergeCell ref="C30:C31"/>
    <mergeCell ref="D30:D31"/>
    <mergeCell ref="E30:E31"/>
    <mergeCell ref="F30:J30"/>
    <mergeCell ref="K30:K31"/>
    <mergeCell ref="L30:L31"/>
    <mergeCell ref="M30:M31"/>
    <mergeCell ref="N30:N31"/>
    <mergeCell ref="O30:O31"/>
    <mergeCell ref="A47:A63"/>
    <mergeCell ref="B47:B48"/>
    <mergeCell ref="C47:C48"/>
    <mergeCell ref="D47:D48"/>
    <mergeCell ref="E47:E48"/>
    <mergeCell ref="F47:J47"/>
    <mergeCell ref="K47:K48"/>
    <mergeCell ref="L47:L48"/>
    <mergeCell ref="M47:M48"/>
    <mergeCell ref="N47:N48"/>
    <mergeCell ref="O47:O48"/>
    <mergeCell ref="A65:A79"/>
    <mergeCell ref="B65:B66"/>
    <mergeCell ref="C65:C66"/>
    <mergeCell ref="D65:D66"/>
    <mergeCell ref="E65:E66"/>
    <mergeCell ref="F65:J65"/>
    <mergeCell ref="K65:K66"/>
    <mergeCell ref="L65:L66"/>
    <mergeCell ref="M65:M66"/>
    <mergeCell ref="N65:N66"/>
    <mergeCell ref="O65:O66"/>
    <mergeCell ref="A81:A90"/>
    <mergeCell ref="B81:B82"/>
    <mergeCell ref="C81:C82"/>
    <mergeCell ref="D81:D82"/>
    <mergeCell ref="E81:E82"/>
    <mergeCell ref="F81:J81"/>
    <mergeCell ref="K81:K82"/>
    <mergeCell ref="L81:L82"/>
    <mergeCell ref="M81:M82"/>
    <mergeCell ref="N81:N82"/>
    <mergeCell ref="O81:O82"/>
    <mergeCell ref="A92:A105"/>
    <mergeCell ref="B92:B93"/>
    <mergeCell ref="C92:C93"/>
    <mergeCell ref="D92:D93"/>
    <mergeCell ref="E92:E93"/>
    <mergeCell ref="F92:J92"/>
    <mergeCell ref="K92:K93"/>
    <mergeCell ref="L92:L93"/>
    <mergeCell ref="M92:M93"/>
    <mergeCell ref="N92:N93"/>
    <mergeCell ref="O92:O93"/>
    <mergeCell ref="A107:A114"/>
    <mergeCell ref="B107:B108"/>
    <mergeCell ref="C107:C108"/>
    <mergeCell ref="D107:D108"/>
    <mergeCell ref="E107:E108"/>
    <mergeCell ref="F107:J107"/>
    <mergeCell ref="K107:K108"/>
    <mergeCell ref="L107:L108"/>
    <mergeCell ref="M107:M108"/>
    <mergeCell ref="N107:N108"/>
    <mergeCell ref="O107:O108"/>
    <mergeCell ref="A116:A144"/>
    <mergeCell ref="B116:B117"/>
    <mergeCell ref="C116:C117"/>
    <mergeCell ref="D116:D117"/>
    <mergeCell ref="E116:E117"/>
    <mergeCell ref="F116:J116"/>
    <mergeCell ref="K116:K117"/>
    <mergeCell ref="L116:L117"/>
    <mergeCell ref="M116:M117"/>
    <mergeCell ref="N116:N117"/>
    <mergeCell ref="O116:O117"/>
    <mergeCell ref="A146:A164"/>
    <mergeCell ref="B146:B147"/>
    <mergeCell ref="C146:C147"/>
    <mergeCell ref="D146:D147"/>
    <mergeCell ref="E146:E147"/>
    <mergeCell ref="F146:J146"/>
    <mergeCell ref="K146:K147"/>
    <mergeCell ref="L146:L147"/>
    <mergeCell ref="M146:M147"/>
    <mergeCell ref="N146:N147"/>
    <mergeCell ref="O146:O147"/>
    <mergeCell ref="A166:A172"/>
    <mergeCell ref="B166:B167"/>
    <mergeCell ref="C166:C167"/>
    <mergeCell ref="D166:D167"/>
    <mergeCell ref="E166:E167"/>
    <mergeCell ref="F166:J166"/>
    <mergeCell ref="K166:K167"/>
    <mergeCell ref="L166:L167"/>
    <mergeCell ref="M166:M167"/>
    <mergeCell ref="N166:N167"/>
    <mergeCell ref="O166:O167"/>
    <mergeCell ref="A174:A196"/>
    <mergeCell ref="B174:B175"/>
    <mergeCell ref="C174:C175"/>
    <mergeCell ref="D174:D175"/>
    <mergeCell ref="E174:E175"/>
    <mergeCell ref="F174:J174"/>
    <mergeCell ref="K174:K175"/>
    <mergeCell ref="L174:L175"/>
    <mergeCell ref="M174:M175"/>
    <mergeCell ref="N174:N175"/>
    <mergeCell ref="O174:O1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P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2" activeCellId="0" sqref="E42"/>
    </sheetView>
  </sheetViews>
  <sheetFormatPr defaultColWidth="8.5" defaultRowHeight="14.25" customHeight="false" zeroHeight="false" outlineLevelRow="0" outlineLevelCol="0"/>
  <cols>
    <col collapsed="false" customWidth="true" hidden="false" outlineLevel="0" max="3" min="3" style="0" width="11.54"/>
    <col collapsed="false" customWidth="true" hidden="false" outlineLevel="0" max="4" min="4" style="0" width="18"/>
    <col collapsed="false" customWidth="true" hidden="false" outlineLevel="0" max="6" min="6" style="0" width="11.73"/>
  </cols>
  <sheetData>
    <row r="2" customFormat="false" ht="14.25" hidden="false" customHeight="true" outlineLevel="0" collapsed="false">
      <c r="A2" s="1" t="n">
        <v>1</v>
      </c>
      <c r="B2" s="2" t="s">
        <v>0</v>
      </c>
      <c r="C2" s="3" t="s">
        <v>1</v>
      </c>
      <c r="D2" s="3" t="s">
        <v>2</v>
      </c>
      <c r="E2" s="4" t="s">
        <v>3</v>
      </c>
      <c r="F2" s="91" t="s">
        <v>4</v>
      </c>
      <c r="G2" s="92"/>
      <c r="H2" s="92"/>
      <c r="I2" s="92"/>
      <c r="J2" s="93"/>
      <c r="K2" s="3" t="s">
        <v>5</v>
      </c>
      <c r="L2" s="3" t="s">
        <v>6</v>
      </c>
      <c r="M2" s="4" t="s">
        <v>7</v>
      </c>
      <c r="N2" s="4" t="s">
        <v>8</v>
      </c>
      <c r="O2" s="6" t="s">
        <v>9</v>
      </c>
    </row>
    <row r="3" customFormat="false" ht="14.25" hidden="false" customHeight="false" outlineLevel="0" collapsed="false">
      <c r="A3" s="1"/>
      <c r="B3" s="2"/>
      <c r="C3" s="3"/>
      <c r="D3" s="3"/>
      <c r="E3" s="4"/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3"/>
      <c r="L3" s="3"/>
      <c r="M3" s="4"/>
      <c r="N3" s="4"/>
      <c r="O3" s="6"/>
    </row>
    <row r="4" customFormat="false" ht="15" hidden="false" customHeight="false" outlineLevel="0" collapsed="false">
      <c r="A4" s="1"/>
      <c r="B4" s="8" t="n">
        <v>1</v>
      </c>
      <c r="C4" s="9" t="s">
        <v>73</v>
      </c>
      <c r="D4" s="9"/>
      <c r="E4" s="10" t="n">
        <v>5.4</v>
      </c>
      <c r="F4" s="11" t="s">
        <v>16</v>
      </c>
      <c r="G4" s="9" t="n">
        <v>52</v>
      </c>
      <c r="H4" s="12" t="n">
        <v>1.24</v>
      </c>
      <c r="I4" s="9" t="n">
        <v>40000</v>
      </c>
      <c r="J4" s="13" t="n">
        <f aca="false">I4*H4</f>
        <v>49600</v>
      </c>
      <c r="K4" s="14" t="n">
        <f aca="false">E4-(H4+H5)/5</f>
        <v>5.102</v>
      </c>
      <c r="L4" s="14" t="n">
        <f aca="false">K4*83%</f>
        <v>4.23466</v>
      </c>
      <c r="M4" s="13" t="n">
        <f aca="false">L4*14782</f>
        <v>62596.74412</v>
      </c>
      <c r="N4" s="13" t="n">
        <f aca="false">K4*300</f>
        <v>1530.6</v>
      </c>
      <c r="O4" s="15" t="n">
        <f aca="false">N4+J4+M4+J5</f>
        <v>113777.34412</v>
      </c>
    </row>
    <row r="5" customFormat="false" ht="15" hidden="false" customHeight="false" outlineLevel="0" collapsed="false">
      <c r="A5" s="1"/>
      <c r="B5" s="16" t="s">
        <v>17</v>
      </c>
      <c r="C5" s="17"/>
      <c r="D5" s="17"/>
      <c r="E5" s="18"/>
      <c r="F5" s="19" t="s">
        <v>18</v>
      </c>
      <c r="G5" s="17" t="n">
        <v>1</v>
      </c>
      <c r="H5" s="20" t="n">
        <v>0.25</v>
      </c>
      <c r="I5" s="17" t="n">
        <v>200</v>
      </c>
      <c r="J5" s="21" t="n">
        <f aca="false">I5*H5</f>
        <v>50</v>
      </c>
      <c r="K5" s="22"/>
      <c r="L5" s="22"/>
      <c r="M5" s="21"/>
      <c r="N5" s="21"/>
      <c r="O5" s="23"/>
    </row>
    <row r="6" customFormat="false" ht="15" hidden="false" customHeight="false" outlineLevel="0" collapsed="false">
      <c r="A6" s="1"/>
      <c r="B6" s="16"/>
      <c r="C6" s="17"/>
      <c r="D6" s="17"/>
      <c r="E6" s="18"/>
      <c r="F6" s="19"/>
      <c r="G6" s="17"/>
      <c r="H6" s="20"/>
      <c r="I6" s="17"/>
      <c r="J6" s="21"/>
      <c r="K6" s="22"/>
      <c r="L6" s="22"/>
      <c r="M6" s="21"/>
      <c r="N6" s="21"/>
      <c r="O6" s="23"/>
    </row>
    <row r="7" customFormat="false" ht="15" hidden="false" customHeight="false" outlineLevel="0" collapsed="false">
      <c r="A7" s="1"/>
      <c r="B7" s="16" t="n">
        <v>2</v>
      </c>
      <c r="C7" s="17"/>
      <c r="D7" s="17"/>
      <c r="E7" s="24" t="n">
        <v>5.33</v>
      </c>
      <c r="F7" s="19" t="s">
        <v>16</v>
      </c>
      <c r="G7" s="17" t="n">
        <v>52</v>
      </c>
      <c r="H7" s="20" t="n">
        <v>1.24</v>
      </c>
      <c r="I7" s="17" t="n">
        <v>40000</v>
      </c>
      <c r="J7" s="21" t="n">
        <f aca="false">I7*H7</f>
        <v>49600</v>
      </c>
      <c r="K7" s="22" t="n">
        <f aca="false">E7-(H7+H8)/5</f>
        <v>5.032</v>
      </c>
      <c r="L7" s="22" t="n">
        <f aca="false">K7*83%</f>
        <v>4.17656</v>
      </c>
      <c r="M7" s="21" t="n">
        <f aca="false">L7*14782</f>
        <v>61737.90992</v>
      </c>
      <c r="N7" s="21" t="n">
        <f aca="false">K7*300</f>
        <v>1509.6</v>
      </c>
      <c r="O7" s="23" t="n">
        <f aca="false">N7+J7+M7+J8</f>
        <v>112897.50992</v>
      </c>
    </row>
    <row r="8" customFormat="false" ht="15" hidden="false" customHeight="false" outlineLevel="0" collapsed="false">
      <c r="A8" s="1"/>
      <c r="B8" s="16" t="s">
        <v>17</v>
      </c>
      <c r="C8" s="17"/>
      <c r="D8" s="17"/>
      <c r="E8" s="18"/>
      <c r="F8" s="19" t="s">
        <v>18</v>
      </c>
      <c r="G8" s="17" t="n">
        <v>1</v>
      </c>
      <c r="H8" s="20" t="n">
        <v>0.25</v>
      </c>
      <c r="I8" s="17" t="n">
        <v>200</v>
      </c>
      <c r="J8" s="21" t="n">
        <f aca="false">I8*H8</f>
        <v>50</v>
      </c>
      <c r="K8" s="22"/>
      <c r="L8" s="22"/>
      <c r="M8" s="21"/>
      <c r="N8" s="21"/>
      <c r="O8" s="23"/>
    </row>
    <row r="9" customFormat="false" ht="15" hidden="false" customHeight="false" outlineLevel="0" collapsed="false">
      <c r="A9" s="1"/>
      <c r="B9" s="16"/>
      <c r="C9" s="17"/>
      <c r="D9" s="17"/>
      <c r="E9" s="18"/>
      <c r="F9" s="19"/>
      <c r="G9" s="17"/>
      <c r="H9" s="20"/>
      <c r="I9" s="17"/>
      <c r="J9" s="21"/>
      <c r="K9" s="22"/>
      <c r="L9" s="22"/>
      <c r="M9" s="21"/>
      <c r="N9" s="21"/>
      <c r="O9" s="23"/>
    </row>
    <row r="10" customFormat="false" ht="15" hidden="false" customHeight="false" outlineLevel="0" collapsed="false">
      <c r="A10" s="1"/>
      <c r="B10" s="86"/>
      <c r="C10" s="7"/>
      <c r="D10" s="7"/>
      <c r="E10" s="39"/>
      <c r="F10" s="40"/>
      <c r="G10" s="7"/>
      <c r="H10" s="41"/>
      <c r="I10" s="7"/>
      <c r="J10" s="42"/>
      <c r="K10" s="43"/>
      <c r="L10" s="43"/>
      <c r="M10" s="42"/>
      <c r="N10" s="42"/>
      <c r="O10" s="44"/>
    </row>
    <row r="11" customFormat="false" ht="15" hidden="false" customHeight="false" outlineLevel="0" collapsed="false">
      <c r="A11" s="1"/>
      <c r="B11" s="86" t="n">
        <v>3</v>
      </c>
      <c r="C11" s="7"/>
      <c r="D11" s="7" t="s">
        <v>74</v>
      </c>
      <c r="E11" s="94" t="n">
        <v>0.8</v>
      </c>
      <c r="F11" s="40"/>
      <c r="G11" s="7"/>
      <c r="H11" s="41"/>
      <c r="I11" s="7"/>
      <c r="J11" s="42"/>
      <c r="K11" s="22" t="n">
        <f aca="false">E11-(H11+H12)/5</f>
        <v>0.8</v>
      </c>
      <c r="L11" s="22" t="n">
        <f aca="false">K11*84%</f>
        <v>0.672</v>
      </c>
      <c r="M11" s="21" t="n">
        <f aca="false">L11*14782</f>
        <v>9933.504</v>
      </c>
      <c r="N11" s="21"/>
      <c r="O11" s="23" t="n">
        <f aca="false">N11+J11+M11+J12</f>
        <v>9933.504</v>
      </c>
    </row>
    <row r="12" customFormat="false" ht="15" hidden="false" customHeight="false" outlineLevel="0" collapsed="false">
      <c r="A12" s="1"/>
      <c r="B12" s="86" t="s">
        <v>17</v>
      </c>
      <c r="C12" s="7"/>
      <c r="D12" s="7"/>
      <c r="E12" s="39"/>
      <c r="F12" s="40"/>
      <c r="G12" s="7"/>
      <c r="H12" s="41"/>
      <c r="I12" s="7"/>
      <c r="J12" s="42"/>
      <c r="K12" s="43"/>
      <c r="L12" s="43"/>
      <c r="M12" s="42"/>
      <c r="N12" s="42"/>
      <c r="O12" s="44"/>
    </row>
    <row r="13" customFormat="false" ht="15" hidden="false" customHeight="false" outlineLevel="0" collapsed="false">
      <c r="A13" s="1"/>
      <c r="B13" s="86"/>
      <c r="C13" s="7"/>
      <c r="D13" s="7"/>
      <c r="E13" s="39"/>
      <c r="F13" s="40"/>
      <c r="G13" s="7"/>
      <c r="H13" s="41"/>
      <c r="I13" s="7"/>
      <c r="J13" s="42"/>
      <c r="K13" s="43"/>
      <c r="L13" s="43"/>
      <c r="M13" s="42"/>
      <c r="N13" s="42"/>
      <c r="O13" s="44"/>
    </row>
    <row r="14" customFormat="false" ht="15" hidden="false" customHeight="false" outlineLevel="0" collapsed="false">
      <c r="A14" s="1"/>
      <c r="B14" s="86"/>
      <c r="C14" s="7"/>
      <c r="D14" s="7"/>
      <c r="E14" s="39"/>
      <c r="F14" s="40"/>
      <c r="G14" s="7"/>
      <c r="H14" s="41"/>
      <c r="I14" s="7"/>
      <c r="J14" s="42"/>
      <c r="K14" s="43"/>
      <c r="L14" s="43"/>
      <c r="M14" s="42"/>
      <c r="N14" s="42"/>
      <c r="O14" s="44"/>
    </row>
    <row r="15" customFormat="false" ht="15" hidden="false" customHeight="false" outlineLevel="0" collapsed="false">
      <c r="A15" s="1"/>
      <c r="B15" s="86" t="n">
        <v>3</v>
      </c>
      <c r="C15" s="7"/>
      <c r="D15" s="7"/>
      <c r="E15" s="24" t="n">
        <v>3.75</v>
      </c>
      <c r="F15" s="19"/>
      <c r="G15" s="17"/>
      <c r="H15" s="20"/>
      <c r="I15" s="17"/>
      <c r="J15" s="21"/>
      <c r="K15" s="22" t="n">
        <f aca="false">E15-(H15+H16)/5</f>
        <v>3.75</v>
      </c>
      <c r="L15" s="22" t="n">
        <f aca="false">K15*98%</f>
        <v>3.675</v>
      </c>
      <c r="M15" s="21" t="n">
        <f aca="false">L15*14782</f>
        <v>54323.85</v>
      </c>
      <c r="N15" s="21"/>
      <c r="O15" s="23" t="n">
        <f aca="false">N15+J15+M15+J16</f>
        <v>54323.85</v>
      </c>
    </row>
    <row r="16" customFormat="false" ht="15" hidden="false" customHeight="false" outlineLevel="0" collapsed="false">
      <c r="A16" s="1"/>
      <c r="B16" s="86" t="s">
        <v>75</v>
      </c>
      <c r="C16" s="7"/>
      <c r="D16" s="7"/>
      <c r="E16" s="18"/>
      <c r="F16" s="19"/>
      <c r="G16" s="17"/>
      <c r="H16" s="20"/>
      <c r="I16" s="17"/>
      <c r="J16" s="21"/>
      <c r="K16" s="22"/>
      <c r="L16" s="22"/>
      <c r="M16" s="21"/>
      <c r="N16" s="21"/>
      <c r="O16" s="23"/>
    </row>
    <row r="17" customFormat="false" ht="15" hidden="false" customHeight="false" outlineLevel="0" collapsed="false">
      <c r="A17" s="1"/>
      <c r="B17" s="86"/>
      <c r="C17" s="7"/>
      <c r="D17" s="7"/>
      <c r="E17" s="39"/>
      <c r="F17" s="40"/>
      <c r="G17" s="7"/>
      <c r="H17" s="41"/>
      <c r="I17" s="7"/>
      <c r="J17" s="42"/>
      <c r="K17" s="43"/>
      <c r="L17" s="43"/>
      <c r="M17" s="42"/>
      <c r="N17" s="42"/>
      <c r="O17" s="44"/>
    </row>
    <row r="18" customFormat="false" ht="15" hidden="false" customHeight="false" outlineLevel="0" collapsed="false">
      <c r="A18" s="1"/>
      <c r="B18" s="86"/>
      <c r="C18" s="7"/>
      <c r="D18" s="7"/>
      <c r="E18" s="39"/>
      <c r="F18" s="40"/>
      <c r="G18" s="7"/>
      <c r="H18" s="41"/>
      <c r="I18" s="7"/>
      <c r="J18" s="42"/>
      <c r="K18" s="43"/>
      <c r="L18" s="43"/>
      <c r="M18" s="42"/>
      <c r="N18" s="42"/>
      <c r="O18" s="44"/>
    </row>
    <row r="19" customFormat="false" ht="15" hidden="false" customHeight="false" outlineLevel="0" collapsed="false">
      <c r="A19" s="1"/>
      <c r="B19" s="25"/>
      <c r="C19" s="26"/>
      <c r="D19" s="26"/>
      <c r="E19" s="27"/>
      <c r="F19" s="28"/>
      <c r="G19" s="28"/>
      <c r="H19" s="29"/>
      <c r="I19" s="26"/>
      <c r="J19" s="30"/>
      <c r="K19" s="27"/>
      <c r="L19" s="27"/>
      <c r="M19" s="27"/>
      <c r="N19" s="31"/>
      <c r="O19" s="32"/>
    </row>
    <row r="20" customFormat="false" ht="15" hidden="false" customHeight="false" outlineLevel="0" collapsed="false">
      <c r="A20" s="1"/>
      <c r="B20" s="33"/>
      <c r="C20" s="34"/>
      <c r="D20" s="34"/>
      <c r="E20" s="35" t="n">
        <f aca="false">SUM(E4:E19)</f>
        <v>15.28</v>
      </c>
      <c r="F20" s="34"/>
      <c r="G20" s="34" t="n">
        <f aca="false">SUM(G4:G19)</f>
        <v>106</v>
      </c>
      <c r="H20" s="35" t="n">
        <f aca="false">SUM(H4:H19)</f>
        <v>2.98</v>
      </c>
      <c r="I20" s="34"/>
      <c r="J20" s="36" t="n">
        <f aca="false">SUM(J4:J19)</f>
        <v>99300</v>
      </c>
      <c r="K20" s="35" t="n">
        <f aca="false">SUM(K4:K19)</f>
        <v>14.684</v>
      </c>
      <c r="L20" s="76" t="n">
        <f aca="false">SUM(L4:L19)</f>
        <v>12.75822</v>
      </c>
      <c r="M20" s="37" t="n">
        <f aca="false">SUM(M4:M19)</f>
        <v>188592.00804</v>
      </c>
      <c r="N20" s="37" t="n">
        <f aca="false">SUM(N4:N19)</f>
        <v>3040.2</v>
      </c>
      <c r="O20" s="38" t="n">
        <f aca="false">SUM(O4:O19)</f>
        <v>290932.20804</v>
      </c>
      <c r="P20" s="0" t="s">
        <v>23</v>
      </c>
    </row>
    <row r="22" customFormat="false" ht="14.25" hidden="false" customHeight="true" outlineLevel="0" collapsed="false">
      <c r="A22" s="1" t="n">
        <v>2</v>
      </c>
      <c r="B22" s="2" t="s">
        <v>0</v>
      </c>
      <c r="C22" s="3" t="s">
        <v>1</v>
      </c>
      <c r="D22" s="3" t="s">
        <v>2</v>
      </c>
      <c r="E22" s="4" t="s">
        <v>3</v>
      </c>
      <c r="F22" s="9" t="s">
        <v>4</v>
      </c>
      <c r="G22" s="9"/>
      <c r="H22" s="9"/>
      <c r="I22" s="9"/>
      <c r="J22" s="9"/>
      <c r="K22" s="3" t="s">
        <v>5</v>
      </c>
      <c r="L22" s="3" t="s">
        <v>6</v>
      </c>
      <c r="M22" s="4" t="s">
        <v>7</v>
      </c>
      <c r="N22" s="4" t="s">
        <v>8</v>
      </c>
      <c r="O22" s="6" t="s">
        <v>9</v>
      </c>
    </row>
    <row r="23" customFormat="false" ht="14.25" hidden="false" customHeight="false" outlineLevel="0" collapsed="false">
      <c r="A23" s="1"/>
      <c r="B23" s="2"/>
      <c r="C23" s="3"/>
      <c r="D23" s="3"/>
      <c r="E23" s="4"/>
      <c r="F23" s="7" t="s">
        <v>10</v>
      </c>
      <c r="G23" s="7" t="s">
        <v>11</v>
      </c>
      <c r="H23" s="7" t="s">
        <v>12</v>
      </c>
      <c r="I23" s="7" t="s">
        <v>13</v>
      </c>
      <c r="J23" s="7" t="s">
        <v>14</v>
      </c>
      <c r="K23" s="3"/>
      <c r="L23" s="3"/>
      <c r="M23" s="4"/>
      <c r="N23" s="4"/>
      <c r="O23" s="6"/>
    </row>
    <row r="24" customFormat="false" ht="15" hidden="false" customHeight="false" outlineLevel="0" collapsed="false">
      <c r="A24" s="1"/>
      <c r="B24" s="8" t="n">
        <v>1</v>
      </c>
      <c r="C24" s="9" t="s">
        <v>76</v>
      </c>
      <c r="D24" s="9"/>
      <c r="E24" s="10" t="n">
        <v>76.4</v>
      </c>
      <c r="F24" s="11" t="s">
        <v>77</v>
      </c>
      <c r="G24" s="9" t="n">
        <v>652</v>
      </c>
      <c r="H24" s="12" t="n">
        <v>11.86</v>
      </c>
      <c r="I24" s="9" t="n">
        <v>15000</v>
      </c>
      <c r="J24" s="13" t="n">
        <f aca="false">I24*H24</f>
        <v>177900</v>
      </c>
      <c r="K24" s="14" t="n">
        <f aca="false">E24-(H24+H25+H26)/5</f>
        <v>72.212</v>
      </c>
      <c r="L24" s="14" t="n">
        <f aca="false">K24*82%</f>
        <v>59.21384</v>
      </c>
      <c r="M24" s="13" t="n">
        <f aca="false">L24*14785</f>
        <v>875476.6244</v>
      </c>
      <c r="N24" s="13" t="n">
        <f aca="false">K24*300</f>
        <v>21663.6</v>
      </c>
      <c r="O24" s="15" t="n">
        <f aca="false">N24+J24+M24+J25+J26</f>
        <v>1156760.2244</v>
      </c>
    </row>
    <row r="25" customFormat="false" ht="15" hidden="false" customHeight="false" outlineLevel="0" collapsed="false">
      <c r="A25" s="1"/>
      <c r="B25" s="16" t="s">
        <v>17</v>
      </c>
      <c r="C25" s="17"/>
      <c r="D25" s="17"/>
      <c r="E25" s="18"/>
      <c r="F25" s="19" t="s">
        <v>78</v>
      </c>
      <c r="G25" s="17" t="n">
        <v>52</v>
      </c>
      <c r="H25" s="20" t="n">
        <v>9.08</v>
      </c>
      <c r="I25" s="17" t="n">
        <v>9000</v>
      </c>
      <c r="J25" s="21" t="n">
        <f aca="false">I25*H25</f>
        <v>81720</v>
      </c>
      <c r="K25" s="22"/>
      <c r="L25" s="22"/>
      <c r="M25" s="21"/>
      <c r="N25" s="21"/>
      <c r="O25" s="23"/>
    </row>
    <row r="26" customFormat="false" ht="15" hidden="false" customHeight="false" outlineLevel="0" collapsed="false">
      <c r="A26" s="1"/>
      <c r="B26" s="16"/>
      <c r="C26" s="17"/>
      <c r="D26" s="17"/>
      <c r="E26" s="18"/>
      <c r="F26" s="19"/>
      <c r="G26" s="17"/>
      <c r="H26" s="20"/>
      <c r="I26" s="17"/>
      <c r="J26" s="21"/>
      <c r="K26" s="22"/>
      <c r="L26" s="22"/>
      <c r="M26" s="21"/>
      <c r="N26" s="21"/>
      <c r="O26" s="23"/>
    </row>
    <row r="27" customFormat="false" ht="15" hidden="false" customHeight="false" outlineLevel="0" collapsed="false">
      <c r="A27" s="1"/>
      <c r="B27" s="25"/>
      <c r="C27" s="26"/>
      <c r="D27" s="26"/>
      <c r="E27" s="27"/>
      <c r="F27" s="28"/>
      <c r="G27" s="28"/>
      <c r="H27" s="29"/>
      <c r="I27" s="26"/>
      <c r="J27" s="30"/>
      <c r="K27" s="27"/>
      <c r="L27" s="27"/>
      <c r="M27" s="27"/>
      <c r="N27" s="31"/>
      <c r="O27" s="32"/>
    </row>
    <row r="28" customFormat="false" ht="15" hidden="false" customHeight="false" outlineLevel="0" collapsed="false">
      <c r="A28" s="1"/>
      <c r="B28" s="33"/>
      <c r="C28" s="34"/>
      <c r="D28" s="34"/>
      <c r="E28" s="35" t="n">
        <f aca="false">SUM(E24:E27)</f>
        <v>76.4</v>
      </c>
      <c r="F28" s="34"/>
      <c r="G28" s="34" t="n">
        <f aca="false">SUM(G24:G27)</f>
        <v>704</v>
      </c>
      <c r="H28" s="35" t="n">
        <f aca="false">SUM(H24:H27)</f>
        <v>20.94</v>
      </c>
      <c r="I28" s="34"/>
      <c r="J28" s="36" t="n">
        <f aca="false">SUM(J24:J27)</f>
        <v>259620</v>
      </c>
      <c r="K28" s="35" t="n">
        <f aca="false">SUM(K24:K27)</f>
        <v>72.212</v>
      </c>
      <c r="L28" s="76" t="n">
        <f aca="false">SUM(L24:L27)</f>
        <v>59.21384</v>
      </c>
      <c r="M28" s="37" t="n">
        <f aca="false">SUM(M24:M27)</f>
        <v>875476.6244</v>
      </c>
      <c r="N28" s="37" t="n">
        <f aca="false">SUM(N24:N27)</f>
        <v>21663.6</v>
      </c>
      <c r="O28" s="38" t="n">
        <f aca="false">SUM(O24:O27)</f>
        <v>1156760.2244</v>
      </c>
      <c r="P28" s="0" t="s">
        <v>23</v>
      </c>
    </row>
    <row r="30" customFormat="false" ht="14.25" hidden="false" customHeight="true" outlineLevel="0" collapsed="false">
      <c r="A30" s="1" t="n">
        <v>3</v>
      </c>
      <c r="B30" s="2" t="s">
        <v>0</v>
      </c>
      <c r="C30" s="3" t="s">
        <v>1</v>
      </c>
      <c r="D30" s="3" t="s">
        <v>2</v>
      </c>
      <c r="E30" s="4" t="s">
        <v>3</v>
      </c>
      <c r="F30" s="91" t="s">
        <v>4</v>
      </c>
      <c r="G30" s="92"/>
      <c r="H30" s="92"/>
      <c r="I30" s="92"/>
      <c r="J30" s="93"/>
      <c r="K30" s="3" t="s">
        <v>5</v>
      </c>
      <c r="L30" s="3" t="s">
        <v>6</v>
      </c>
      <c r="M30" s="4" t="s">
        <v>7</v>
      </c>
      <c r="N30" s="4" t="s">
        <v>8</v>
      </c>
      <c r="O30" s="6" t="s">
        <v>9</v>
      </c>
    </row>
    <row r="31" customFormat="false" ht="14.25" hidden="false" customHeight="false" outlineLevel="0" collapsed="false">
      <c r="A31" s="1"/>
      <c r="B31" s="2"/>
      <c r="C31" s="3"/>
      <c r="D31" s="3"/>
      <c r="E31" s="4"/>
      <c r="F31" s="7" t="s">
        <v>10</v>
      </c>
      <c r="G31" s="7" t="s">
        <v>11</v>
      </c>
      <c r="H31" s="7" t="s">
        <v>12</v>
      </c>
      <c r="I31" s="7" t="s">
        <v>13</v>
      </c>
      <c r="J31" s="7" t="s">
        <v>14</v>
      </c>
      <c r="K31" s="3"/>
      <c r="L31" s="3"/>
      <c r="M31" s="4"/>
      <c r="N31" s="4"/>
      <c r="O31" s="6"/>
    </row>
    <row r="32" customFormat="false" ht="15" hidden="false" customHeight="false" outlineLevel="0" collapsed="false">
      <c r="A32" s="1"/>
      <c r="B32" s="8" t="n">
        <v>1</v>
      </c>
      <c r="C32" s="9" t="s">
        <v>55</v>
      </c>
      <c r="D32" s="9"/>
      <c r="E32" s="10" t="n">
        <v>0.65</v>
      </c>
      <c r="F32" s="11" t="s">
        <v>79</v>
      </c>
      <c r="G32" s="9" t="n">
        <v>8</v>
      </c>
      <c r="H32" s="12" t="n">
        <v>0.12</v>
      </c>
      <c r="I32" s="9" t="n">
        <v>200</v>
      </c>
      <c r="J32" s="13" t="n">
        <f aca="false">I32*H32</f>
        <v>24</v>
      </c>
      <c r="K32" s="14" t="n">
        <f aca="false">E32-(H32+H33)/5</f>
        <v>0.626</v>
      </c>
      <c r="L32" s="14" t="n">
        <f aca="false">K32*85%</f>
        <v>0.5321</v>
      </c>
      <c r="M32" s="13" t="n">
        <f aca="false">L32*14914</f>
        <v>7935.7394</v>
      </c>
      <c r="N32" s="13" t="n">
        <v>1050</v>
      </c>
      <c r="O32" s="15" t="n">
        <f aca="false">N32+J32+M32+J33</f>
        <v>9009.7394</v>
      </c>
    </row>
    <row r="33" customFormat="false" ht="15" hidden="false" customHeight="false" outlineLevel="0" collapsed="false">
      <c r="A33" s="1"/>
      <c r="B33" s="16" t="s">
        <v>17</v>
      </c>
      <c r="C33" s="17" t="s">
        <v>80</v>
      </c>
      <c r="D33" s="17"/>
      <c r="E33" s="18"/>
      <c r="F33" s="19"/>
      <c r="G33" s="17"/>
      <c r="H33" s="20"/>
      <c r="I33" s="17"/>
      <c r="J33" s="21"/>
      <c r="K33" s="22"/>
      <c r="L33" s="22"/>
      <c r="M33" s="21"/>
      <c r="N33" s="21"/>
      <c r="O33" s="23"/>
    </row>
    <row r="34" customFormat="false" ht="15" hidden="false" customHeight="false" outlineLevel="0" collapsed="false">
      <c r="A34" s="1"/>
      <c r="B34" s="16"/>
      <c r="C34" s="17"/>
      <c r="D34" s="17"/>
      <c r="E34" s="18"/>
      <c r="F34" s="19"/>
      <c r="G34" s="17"/>
      <c r="H34" s="20"/>
      <c r="I34" s="17"/>
      <c r="J34" s="21"/>
      <c r="K34" s="22"/>
      <c r="L34" s="22"/>
      <c r="M34" s="21"/>
      <c r="N34" s="21"/>
      <c r="O34" s="23"/>
    </row>
    <row r="35" customFormat="false" ht="15" hidden="false" customHeight="false" outlineLevel="0" collapsed="false">
      <c r="A35" s="1"/>
      <c r="B35" s="16"/>
      <c r="C35" s="17"/>
      <c r="D35" s="17"/>
      <c r="E35" s="24"/>
      <c r="F35" s="19"/>
      <c r="G35" s="17"/>
      <c r="H35" s="20"/>
      <c r="I35" s="17"/>
      <c r="J35" s="21"/>
      <c r="K35" s="22"/>
      <c r="L35" s="22"/>
      <c r="M35" s="21"/>
      <c r="N35" s="21"/>
      <c r="O35" s="23"/>
    </row>
    <row r="36" customFormat="false" ht="15" hidden="false" customHeight="false" outlineLevel="0" collapsed="false">
      <c r="A36" s="1"/>
      <c r="B36" s="16"/>
      <c r="C36" s="17"/>
      <c r="D36" s="17"/>
      <c r="E36" s="24"/>
      <c r="F36" s="19"/>
      <c r="G36" s="17"/>
      <c r="H36" s="20"/>
      <c r="I36" s="17"/>
      <c r="J36" s="21"/>
      <c r="K36" s="22"/>
      <c r="L36" s="22"/>
      <c r="M36" s="21"/>
      <c r="N36" s="21"/>
      <c r="O36" s="23"/>
    </row>
    <row r="37" customFormat="false" ht="15" hidden="false" customHeight="false" outlineLevel="0" collapsed="false">
      <c r="A37" s="1"/>
      <c r="B37" s="16" t="n">
        <v>2</v>
      </c>
      <c r="C37" s="17" t="s">
        <v>81</v>
      </c>
      <c r="D37" s="17" t="s">
        <v>81</v>
      </c>
      <c r="E37" s="24" t="n">
        <f aca="false">16.19-15.67</f>
        <v>0.520000000000001</v>
      </c>
      <c r="F37" s="19"/>
      <c r="G37" s="17"/>
      <c r="H37" s="20"/>
      <c r="I37" s="17"/>
      <c r="J37" s="21"/>
      <c r="K37" s="22" t="n">
        <f aca="false">E37-(H37+H38)/5</f>
        <v>0.520000000000001</v>
      </c>
      <c r="L37" s="22" t="n">
        <f aca="false">K37*85%</f>
        <v>0.442000000000001</v>
      </c>
      <c r="M37" s="21" t="n">
        <f aca="false">L37*14914</f>
        <v>6591.98800000002</v>
      </c>
      <c r="N37" s="21" t="n">
        <v>300</v>
      </c>
      <c r="O37" s="23" t="n">
        <f aca="false">N37+J37+M37+J38</f>
        <v>6891.98800000002</v>
      </c>
    </row>
    <row r="38" customFormat="false" ht="15" hidden="false" customHeight="false" outlineLevel="0" collapsed="false">
      <c r="A38" s="1"/>
      <c r="B38" s="16" t="s">
        <v>17</v>
      </c>
      <c r="C38" s="17" t="s">
        <v>80</v>
      </c>
      <c r="D38" s="17"/>
      <c r="E38" s="24"/>
      <c r="F38" s="19"/>
      <c r="G38" s="17"/>
      <c r="H38" s="20"/>
      <c r="I38" s="17"/>
      <c r="J38" s="21"/>
      <c r="K38" s="22"/>
      <c r="L38" s="22"/>
      <c r="M38" s="21"/>
      <c r="N38" s="21"/>
      <c r="O38" s="23"/>
    </row>
    <row r="39" customFormat="false" ht="15" hidden="false" customHeight="false" outlineLevel="0" collapsed="false">
      <c r="A39" s="1"/>
      <c r="B39" s="16"/>
      <c r="C39" s="17"/>
      <c r="D39" s="17"/>
      <c r="E39" s="24"/>
      <c r="F39" s="19"/>
      <c r="G39" s="17"/>
      <c r="H39" s="20"/>
      <c r="I39" s="17"/>
      <c r="J39" s="21"/>
      <c r="K39" s="22"/>
      <c r="L39" s="22"/>
      <c r="M39" s="21"/>
      <c r="N39" s="21"/>
      <c r="O39" s="23"/>
    </row>
    <row r="40" customFormat="false" ht="15" hidden="false" customHeight="false" outlineLevel="0" collapsed="false">
      <c r="A40" s="1"/>
      <c r="B40" s="16" t="n">
        <v>3</v>
      </c>
      <c r="C40" s="17" t="s">
        <v>82</v>
      </c>
      <c r="D40" s="17"/>
      <c r="E40" s="24" t="n">
        <f aca="false">17.72-14.74</f>
        <v>2.98</v>
      </c>
      <c r="F40" s="19" t="s">
        <v>16</v>
      </c>
      <c r="G40" s="17" t="n">
        <f aca="false">13+5</f>
        <v>18</v>
      </c>
      <c r="H40" s="20" t="n">
        <f aca="false">0.09+0.04</f>
        <v>0.13</v>
      </c>
      <c r="I40" s="17" t="n">
        <v>40000</v>
      </c>
      <c r="J40" s="21" t="n">
        <f aca="false">I40*H40</f>
        <v>5200</v>
      </c>
      <c r="K40" s="22" t="n">
        <f aca="false">E40-(H40+H41)/5</f>
        <v>1.356</v>
      </c>
      <c r="L40" s="22" t="n">
        <f aca="false">K40*85%</f>
        <v>1.1526</v>
      </c>
      <c r="M40" s="21" t="n">
        <f aca="false">L40*14914</f>
        <v>17189.8764</v>
      </c>
      <c r="N40" s="21" t="n">
        <v>500</v>
      </c>
      <c r="O40" s="23" t="n">
        <f aca="false">N40+J40+M40+J41</f>
        <v>24088.3764</v>
      </c>
    </row>
    <row r="41" customFormat="false" ht="15" hidden="false" customHeight="false" outlineLevel="0" collapsed="false">
      <c r="A41" s="1"/>
      <c r="B41" s="16" t="s">
        <v>17</v>
      </c>
      <c r="C41" s="17" t="s">
        <v>80</v>
      </c>
      <c r="D41" s="17"/>
      <c r="E41" s="24"/>
      <c r="F41" s="19" t="s">
        <v>20</v>
      </c>
      <c r="G41" s="17" t="n">
        <v>1</v>
      </c>
      <c r="H41" s="20" t="n">
        <v>7.99</v>
      </c>
      <c r="I41" s="17" t="n">
        <v>150</v>
      </c>
      <c r="J41" s="21" t="n">
        <f aca="false">I41*H41</f>
        <v>1198.5</v>
      </c>
      <c r="K41" s="22"/>
      <c r="L41" s="22"/>
      <c r="M41" s="21"/>
      <c r="N41" s="21"/>
      <c r="O41" s="23"/>
    </row>
    <row r="42" customFormat="false" ht="15" hidden="false" customHeight="false" outlineLevel="0" collapsed="false">
      <c r="A42" s="1"/>
      <c r="B42" s="16"/>
      <c r="C42" s="17"/>
      <c r="D42" s="17"/>
      <c r="E42" s="24"/>
      <c r="F42" s="19"/>
      <c r="G42" s="17"/>
      <c r="H42" s="20"/>
      <c r="I42" s="17"/>
      <c r="J42" s="21"/>
      <c r="K42" s="22"/>
      <c r="L42" s="22"/>
      <c r="M42" s="21"/>
      <c r="N42" s="21"/>
      <c r="O42" s="23"/>
    </row>
    <row r="43" customFormat="false" ht="15" hidden="false" customHeight="false" outlineLevel="0" collapsed="false">
      <c r="A43" s="1"/>
      <c r="B43" s="16"/>
      <c r="C43" s="17"/>
      <c r="D43" s="17"/>
      <c r="E43" s="24"/>
      <c r="F43" s="19"/>
      <c r="G43" s="17"/>
      <c r="H43" s="20"/>
      <c r="I43" s="17"/>
      <c r="J43" s="21"/>
      <c r="K43" s="22"/>
      <c r="L43" s="22"/>
      <c r="M43" s="21"/>
      <c r="N43" s="21"/>
      <c r="O43" s="23"/>
    </row>
    <row r="44" customFormat="false" ht="15" hidden="false" customHeight="false" outlineLevel="0" collapsed="false">
      <c r="A44" s="1"/>
      <c r="B44" s="16" t="n">
        <v>4</v>
      </c>
      <c r="C44" s="17" t="s">
        <v>83</v>
      </c>
      <c r="D44" s="17" t="s">
        <v>84</v>
      </c>
      <c r="E44" s="24" t="n">
        <v>16.41</v>
      </c>
      <c r="F44" s="19" t="s">
        <v>85</v>
      </c>
      <c r="G44" s="17" t="n">
        <v>48</v>
      </c>
      <c r="H44" s="20" t="n">
        <v>7.8</v>
      </c>
      <c r="I44" s="17" t="n">
        <v>100</v>
      </c>
      <c r="J44" s="21" t="n">
        <f aca="false">I44*H44</f>
        <v>780</v>
      </c>
      <c r="K44" s="22" t="n">
        <f aca="false">E44-(H44+H45)/5</f>
        <v>11.98</v>
      </c>
      <c r="L44" s="22" t="n">
        <f aca="false">K44*82%</f>
        <v>9.8236</v>
      </c>
      <c r="M44" s="21" t="n">
        <f aca="false">L44*14914</f>
        <v>146509.1704</v>
      </c>
      <c r="N44" s="21" t="n">
        <f aca="false">K44*300</f>
        <v>3594</v>
      </c>
      <c r="O44" s="23" t="n">
        <f aca="false">N44+J44+M44+J45</f>
        <v>152318.1704</v>
      </c>
    </row>
    <row r="45" customFormat="false" ht="15" hidden="false" customHeight="false" outlineLevel="0" collapsed="false">
      <c r="A45" s="1"/>
      <c r="B45" s="16" t="s">
        <v>17</v>
      </c>
      <c r="C45" s="17"/>
      <c r="D45" s="17"/>
      <c r="E45" s="24"/>
      <c r="F45" s="19" t="s">
        <v>20</v>
      </c>
      <c r="G45" s="17" t="n">
        <v>50</v>
      </c>
      <c r="H45" s="20" t="n">
        <v>14.35</v>
      </c>
      <c r="I45" s="17" t="n">
        <v>100</v>
      </c>
      <c r="J45" s="21" t="n">
        <f aca="false">I45*H45</f>
        <v>1435</v>
      </c>
      <c r="K45" s="22"/>
      <c r="L45" s="22"/>
      <c r="M45" s="21"/>
      <c r="N45" s="21"/>
      <c r="O45" s="23"/>
    </row>
    <row r="46" customFormat="false" ht="15" hidden="false" customHeight="false" outlineLevel="0" collapsed="false">
      <c r="A46" s="1"/>
      <c r="B46" s="16"/>
      <c r="C46" s="17"/>
      <c r="D46" s="17"/>
      <c r="E46" s="24"/>
      <c r="F46" s="19"/>
      <c r="G46" s="17"/>
      <c r="H46" s="20"/>
      <c r="I46" s="17"/>
      <c r="J46" s="21"/>
      <c r="K46" s="22"/>
      <c r="L46" s="22"/>
      <c r="M46" s="21"/>
      <c r="N46" s="21"/>
      <c r="O46" s="23"/>
    </row>
    <row r="47" customFormat="false" ht="15" hidden="false" customHeight="false" outlineLevel="0" collapsed="false">
      <c r="A47" s="1"/>
      <c r="B47" s="16"/>
      <c r="C47" s="17"/>
      <c r="D47" s="17"/>
      <c r="E47" s="24"/>
      <c r="F47" s="19"/>
      <c r="G47" s="17"/>
      <c r="H47" s="20"/>
      <c r="I47" s="17"/>
      <c r="J47" s="21"/>
      <c r="K47" s="22"/>
      <c r="L47" s="22"/>
      <c r="M47" s="21"/>
      <c r="N47" s="21"/>
      <c r="O47" s="23"/>
    </row>
    <row r="48" customFormat="false" ht="15" hidden="false" customHeight="false" outlineLevel="0" collapsed="false">
      <c r="A48" s="1"/>
      <c r="B48" s="25"/>
      <c r="C48" s="26"/>
      <c r="D48" s="26"/>
      <c r="E48" s="27"/>
      <c r="F48" s="28"/>
      <c r="G48" s="28"/>
      <c r="H48" s="29"/>
      <c r="I48" s="26"/>
      <c r="J48" s="30"/>
      <c r="K48" s="27"/>
      <c r="L48" s="27"/>
      <c r="M48" s="27"/>
      <c r="N48" s="31"/>
      <c r="O48" s="32"/>
    </row>
    <row r="49" customFormat="false" ht="15" hidden="false" customHeight="false" outlineLevel="0" collapsed="false">
      <c r="A49" s="1"/>
      <c r="B49" s="33"/>
      <c r="C49" s="34"/>
      <c r="D49" s="34"/>
      <c r="E49" s="35" t="n">
        <f aca="false">SUM(E32:E48)</f>
        <v>20.56</v>
      </c>
      <c r="F49" s="34"/>
      <c r="G49" s="34" t="n">
        <f aca="false">SUM(G32:G48)</f>
        <v>125</v>
      </c>
      <c r="H49" s="35" t="n">
        <f aca="false">SUM(H32:H48)</f>
        <v>30.39</v>
      </c>
      <c r="I49" s="34"/>
      <c r="J49" s="36" t="n">
        <f aca="false">SUM(J32:J48)</f>
        <v>8637.5</v>
      </c>
      <c r="K49" s="35" t="n">
        <f aca="false">SUM(K32:K48)</f>
        <v>14.482</v>
      </c>
      <c r="L49" s="76" t="n">
        <f aca="false">SUM(L32:L48)</f>
        <v>11.9503</v>
      </c>
      <c r="M49" s="37" t="n">
        <f aca="false">SUM(M32:M48)</f>
        <v>178226.7742</v>
      </c>
      <c r="N49" s="37" t="n">
        <f aca="false">SUM(N32:N48)</f>
        <v>5444</v>
      </c>
      <c r="O49" s="38" t="n">
        <f aca="false">SUM(O32:O48)</f>
        <v>192308.2742</v>
      </c>
      <c r="P49" s="0" t="s">
        <v>23</v>
      </c>
    </row>
    <row r="51" customFormat="false" ht="14.25" hidden="false" customHeight="true" outlineLevel="0" collapsed="false">
      <c r="A51" s="1" t="n">
        <v>4</v>
      </c>
      <c r="B51" s="2" t="s">
        <v>0</v>
      </c>
      <c r="C51" s="3" t="s">
        <v>1</v>
      </c>
      <c r="D51" s="3" t="s">
        <v>2</v>
      </c>
      <c r="E51" s="4" t="s">
        <v>3</v>
      </c>
      <c r="F51" s="9" t="s">
        <v>4</v>
      </c>
      <c r="G51" s="9"/>
      <c r="H51" s="9"/>
      <c r="I51" s="9"/>
      <c r="J51" s="9"/>
      <c r="K51" s="3" t="s">
        <v>5</v>
      </c>
      <c r="L51" s="3" t="s">
        <v>6</v>
      </c>
      <c r="M51" s="4" t="s">
        <v>7</v>
      </c>
      <c r="N51" s="4" t="s">
        <v>8</v>
      </c>
      <c r="O51" s="6" t="s">
        <v>9</v>
      </c>
    </row>
    <row r="52" customFormat="false" ht="14.25" hidden="false" customHeight="false" outlineLevel="0" collapsed="false">
      <c r="A52" s="1"/>
      <c r="B52" s="2"/>
      <c r="C52" s="3"/>
      <c r="D52" s="3"/>
      <c r="E52" s="4"/>
      <c r="F52" s="7" t="s">
        <v>10</v>
      </c>
      <c r="G52" s="7" t="s">
        <v>11</v>
      </c>
      <c r="H52" s="7" t="s">
        <v>12</v>
      </c>
      <c r="I52" s="7" t="s">
        <v>13</v>
      </c>
      <c r="J52" s="7" t="s">
        <v>14</v>
      </c>
      <c r="K52" s="3"/>
      <c r="L52" s="3"/>
      <c r="M52" s="4"/>
      <c r="N52" s="4"/>
      <c r="O52" s="6"/>
    </row>
    <row r="53" customFormat="false" ht="15" hidden="false" customHeight="false" outlineLevel="0" collapsed="false">
      <c r="A53" s="1"/>
      <c r="B53" s="8" t="n">
        <v>1</v>
      </c>
      <c r="C53" s="9" t="s">
        <v>86</v>
      </c>
      <c r="D53" s="9"/>
      <c r="E53" s="10" t="n">
        <v>8.55</v>
      </c>
      <c r="F53" s="11" t="s">
        <v>79</v>
      </c>
      <c r="G53" s="9" t="n">
        <v>5</v>
      </c>
      <c r="H53" s="12" t="n">
        <v>0.75</v>
      </c>
      <c r="I53" s="9" t="n">
        <v>400</v>
      </c>
      <c r="J53" s="13" t="n">
        <f aca="false">I53*H53</f>
        <v>300</v>
      </c>
      <c r="K53" s="14" t="n">
        <f aca="false">E53-(H53+H54)/5</f>
        <v>8.4</v>
      </c>
      <c r="L53" s="14" t="n">
        <f aca="false">K53*92%</f>
        <v>7.728</v>
      </c>
      <c r="M53" s="13" t="n">
        <f aca="false">L53*14785</f>
        <v>114258.48</v>
      </c>
      <c r="N53" s="13" t="n">
        <f aca="false">0.504*15100+200</f>
        <v>7810.4</v>
      </c>
      <c r="O53" s="15" t="n">
        <f aca="false">N53+J53+M53</f>
        <v>122368.88</v>
      </c>
    </row>
    <row r="54" customFormat="false" ht="15" hidden="false" customHeight="false" outlineLevel="0" collapsed="false">
      <c r="A54" s="1"/>
      <c r="B54" s="16" t="s">
        <v>42</v>
      </c>
      <c r="C54" s="17"/>
      <c r="D54" s="17"/>
      <c r="E54" s="18"/>
      <c r="F54" s="19"/>
      <c r="G54" s="17"/>
      <c r="H54" s="20"/>
      <c r="I54" s="17"/>
      <c r="J54" s="21"/>
      <c r="K54" s="22"/>
      <c r="L54" s="22"/>
      <c r="M54" s="21"/>
      <c r="N54" s="21"/>
      <c r="O54" s="23"/>
    </row>
    <row r="55" customFormat="false" ht="15" hidden="false" customHeight="false" outlineLevel="0" collapsed="false">
      <c r="A55" s="1"/>
      <c r="B55" s="16"/>
      <c r="C55" s="17"/>
      <c r="D55" s="17"/>
      <c r="E55" s="18"/>
      <c r="F55" s="19"/>
      <c r="G55" s="17"/>
      <c r="H55" s="20"/>
      <c r="I55" s="17"/>
      <c r="J55" s="21"/>
      <c r="K55" s="22"/>
      <c r="L55" s="22"/>
      <c r="M55" s="21"/>
      <c r="N55" s="21"/>
      <c r="O55" s="23"/>
    </row>
    <row r="56" customFormat="false" ht="15" hidden="false" customHeight="false" outlineLevel="0" collapsed="false">
      <c r="A56" s="1"/>
      <c r="B56" s="16"/>
      <c r="C56" s="17"/>
      <c r="D56" s="17"/>
      <c r="E56" s="18"/>
      <c r="F56" s="19"/>
      <c r="G56" s="17"/>
      <c r="H56" s="20"/>
      <c r="I56" s="17"/>
      <c r="J56" s="21"/>
      <c r="K56" s="22"/>
      <c r="L56" s="22"/>
      <c r="M56" s="21"/>
      <c r="N56" s="21"/>
      <c r="O56" s="23"/>
    </row>
    <row r="57" customFormat="false" ht="15" hidden="false" customHeight="false" outlineLevel="0" collapsed="false">
      <c r="A57" s="1"/>
      <c r="B57" s="16" t="n">
        <v>2</v>
      </c>
      <c r="C57" s="17"/>
      <c r="D57" s="17"/>
      <c r="E57" s="24" t="n">
        <v>16.606</v>
      </c>
      <c r="F57" s="19" t="s">
        <v>87</v>
      </c>
      <c r="G57" s="17" t="n">
        <v>8</v>
      </c>
      <c r="H57" s="20" t="n">
        <v>9.51</v>
      </c>
      <c r="I57" s="17" t="n">
        <v>100</v>
      </c>
      <c r="J57" s="21" t="n">
        <f aca="false">I57*H57</f>
        <v>951</v>
      </c>
      <c r="K57" s="22" t="n">
        <f aca="false">E57-(H57+H58)/5</f>
        <v>14.704</v>
      </c>
      <c r="L57" s="22" t="n">
        <f aca="false">K57*86%</f>
        <v>12.64544</v>
      </c>
      <c r="M57" s="21" t="n">
        <f aca="false">L57*14758</f>
        <v>186621.40352</v>
      </c>
      <c r="N57" s="21"/>
      <c r="O57" s="23" t="n">
        <f aca="false">N57+J57+M57</f>
        <v>187572.40352</v>
      </c>
    </row>
    <row r="58" customFormat="false" ht="15" hidden="false" customHeight="false" outlineLevel="0" collapsed="false">
      <c r="A58" s="1"/>
      <c r="B58" s="16" t="s">
        <v>17</v>
      </c>
      <c r="C58" s="17"/>
      <c r="D58" s="17"/>
      <c r="E58" s="18"/>
      <c r="F58" s="19"/>
      <c r="G58" s="17"/>
      <c r="H58" s="20"/>
      <c r="I58" s="17"/>
      <c r="J58" s="21"/>
      <c r="K58" s="22"/>
      <c r="L58" s="22"/>
      <c r="M58" s="21"/>
      <c r="N58" s="21"/>
      <c r="O58" s="23"/>
    </row>
    <row r="59" customFormat="false" ht="15" hidden="false" customHeight="false" outlineLevel="0" collapsed="false">
      <c r="A59" s="1"/>
      <c r="B59" s="16"/>
      <c r="C59" s="17"/>
      <c r="D59" s="17"/>
      <c r="E59" s="18"/>
      <c r="F59" s="19"/>
      <c r="G59" s="17"/>
      <c r="H59" s="20"/>
      <c r="I59" s="17"/>
      <c r="J59" s="21"/>
      <c r="K59" s="22"/>
      <c r="L59" s="22"/>
      <c r="M59" s="21"/>
      <c r="N59" s="21"/>
      <c r="O59" s="23"/>
    </row>
    <row r="60" customFormat="false" ht="15" hidden="false" customHeight="false" outlineLevel="0" collapsed="false">
      <c r="A60" s="1"/>
      <c r="B60" s="16"/>
      <c r="C60" s="17"/>
      <c r="D60" s="17"/>
      <c r="E60" s="18"/>
      <c r="F60" s="19"/>
      <c r="G60" s="17"/>
      <c r="H60" s="20"/>
      <c r="I60" s="17"/>
      <c r="J60" s="21"/>
      <c r="K60" s="22"/>
      <c r="L60" s="22"/>
      <c r="M60" s="21"/>
      <c r="N60" s="21"/>
      <c r="O60" s="23"/>
    </row>
    <row r="61" customFormat="false" ht="15" hidden="false" customHeight="false" outlineLevel="0" collapsed="false">
      <c r="A61" s="1"/>
      <c r="B61" s="25"/>
      <c r="C61" s="26"/>
      <c r="D61" s="26"/>
      <c r="E61" s="27"/>
      <c r="F61" s="28"/>
      <c r="G61" s="28"/>
      <c r="H61" s="29"/>
      <c r="I61" s="26"/>
      <c r="J61" s="30"/>
      <c r="K61" s="27"/>
      <c r="L61" s="27"/>
      <c r="M61" s="27"/>
      <c r="N61" s="31"/>
      <c r="O61" s="32"/>
    </row>
    <row r="62" customFormat="false" ht="15" hidden="false" customHeight="false" outlineLevel="0" collapsed="false">
      <c r="A62" s="1"/>
      <c r="B62" s="33"/>
      <c r="C62" s="34"/>
      <c r="D62" s="34"/>
      <c r="E62" s="35" t="n">
        <f aca="false">SUM(E53:E61)</f>
        <v>25.156</v>
      </c>
      <c r="F62" s="34"/>
      <c r="G62" s="34" t="n">
        <f aca="false">SUM(G53:G61)</f>
        <v>13</v>
      </c>
      <c r="H62" s="35" t="n">
        <f aca="false">SUM(H53:H61)</f>
        <v>10.26</v>
      </c>
      <c r="I62" s="34"/>
      <c r="J62" s="36" t="n">
        <f aca="false">SUM(J53:J61)</f>
        <v>1251</v>
      </c>
      <c r="K62" s="35" t="n">
        <f aca="false">SUM(K53:K61)</f>
        <v>23.104</v>
      </c>
      <c r="L62" s="76" t="n">
        <f aca="false">SUM(L53:L61)</f>
        <v>20.37344</v>
      </c>
      <c r="M62" s="37" t="n">
        <f aca="false">SUM(M53:M61)</f>
        <v>300879.88352</v>
      </c>
      <c r="N62" s="37" t="n">
        <f aca="false">SUM(N53:N61)</f>
        <v>7810.4</v>
      </c>
      <c r="O62" s="38" t="n">
        <f aca="false">SUM(O53:O61)</f>
        <v>309941.28352</v>
      </c>
      <c r="P62" s="0" t="s">
        <v>23</v>
      </c>
    </row>
    <row r="64" customFormat="false" ht="14.25" hidden="false" customHeight="true" outlineLevel="0" collapsed="false">
      <c r="A64" s="1" t="n">
        <v>5</v>
      </c>
      <c r="B64" s="2" t="s">
        <v>0</v>
      </c>
      <c r="C64" s="3" t="s">
        <v>1</v>
      </c>
      <c r="D64" s="3" t="s">
        <v>2</v>
      </c>
      <c r="E64" s="4" t="s">
        <v>3</v>
      </c>
      <c r="F64" s="9" t="s">
        <v>4</v>
      </c>
      <c r="G64" s="9"/>
      <c r="H64" s="9"/>
      <c r="I64" s="9"/>
      <c r="J64" s="9"/>
      <c r="K64" s="3" t="s">
        <v>5</v>
      </c>
      <c r="L64" s="3" t="s">
        <v>6</v>
      </c>
      <c r="M64" s="4" t="s">
        <v>7</v>
      </c>
      <c r="N64" s="4" t="s">
        <v>8</v>
      </c>
      <c r="O64" s="6" t="s">
        <v>9</v>
      </c>
    </row>
    <row r="65" customFormat="false" ht="14.25" hidden="false" customHeight="false" outlineLevel="0" collapsed="false">
      <c r="A65" s="1"/>
      <c r="B65" s="2"/>
      <c r="C65" s="3"/>
      <c r="D65" s="3"/>
      <c r="E65" s="4"/>
      <c r="F65" s="7" t="s">
        <v>10</v>
      </c>
      <c r="G65" s="7" t="s">
        <v>11</v>
      </c>
      <c r="H65" s="7" t="s">
        <v>12</v>
      </c>
      <c r="I65" s="7" t="s">
        <v>13</v>
      </c>
      <c r="J65" s="7" t="s">
        <v>14</v>
      </c>
      <c r="K65" s="3"/>
      <c r="L65" s="3"/>
      <c r="M65" s="4"/>
      <c r="N65" s="4"/>
      <c r="O65" s="6"/>
    </row>
    <row r="66" customFormat="false" ht="15" hidden="false" customHeight="false" outlineLevel="0" collapsed="false">
      <c r="A66" s="1"/>
      <c r="B66" s="8" t="n">
        <v>1</v>
      </c>
      <c r="C66" s="9" t="s">
        <v>88</v>
      </c>
      <c r="D66" s="9"/>
      <c r="E66" s="10" t="n">
        <v>5.5</v>
      </c>
      <c r="F66" s="11" t="s">
        <v>77</v>
      </c>
      <c r="G66" s="9" t="n">
        <v>56</v>
      </c>
      <c r="H66" s="12" t="n">
        <v>0.98</v>
      </c>
      <c r="I66" s="9" t="n">
        <v>15000</v>
      </c>
      <c r="J66" s="95" t="n">
        <f aca="false">I66*H66</f>
        <v>14700</v>
      </c>
      <c r="K66" s="14" t="n">
        <f aca="false">E66-(H66+H67+H68+H69)/5</f>
        <v>4.454</v>
      </c>
      <c r="L66" s="14" t="n">
        <f aca="false">K66*84%</f>
        <v>3.74136</v>
      </c>
      <c r="M66" s="13" t="n">
        <f aca="false">L66*15470</f>
        <v>57878.8392</v>
      </c>
      <c r="N66" s="13" t="n">
        <f aca="false">K66*300</f>
        <v>1336.2</v>
      </c>
      <c r="O66" s="15" t="n">
        <f aca="false">N66+J66+M66+J67+J68+J69</f>
        <v>82595.0392</v>
      </c>
    </row>
    <row r="67" customFormat="false" ht="15" hidden="false" customHeight="false" outlineLevel="0" collapsed="false">
      <c r="A67" s="1"/>
      <c r="B67" s="16" t="s">
        <v>17</v>
      </c>
      <c r="C67" s="17"/>
      <c r="D67" s="17"/>
      <c r="E67" s="18"/>
      <c r="F67" s="19" t="s">
        <v>89</v>
      </c>
      <c r="G67" s="17" t="n">
        <v>1</v>
      </c>
      <c r="H67" s="20" t="n">
        <v>0.32</v>
      </c>
      <c r="I67" s="17" t="n">
        <v>12000</v>
      </c>
      <c r="J67" s="21" t="n">
        <f aca="false">I67*H67</f>
        <v>3840</v>
      </c>
      <c r="K67" s="22"/>
      <c r="L67" s="22"/>
      <c r="M67" s="21"/>
      <c r="N67" s="21"/>
      <c r="O67" s="23"/>
    </row>
    <row r="68" customFormat="false" ht="15" hidden="false" customHeight="false" outlineLevel="0" collapsed="false">
      <c r="A68" s="1"/>
      <c r="B68" s="16"/>
      <c r="C68" s="17"/>
      <c r="D68" s="17"/>
      <c r="E68" s="18"/>
      <c r="F68" s="19" t="s">
        <v>78</v>
      </c>
      <c r="G68" s="17" t="n">
        <v>2</v>
      </c>
      <c r="H68" s="20" t="n">
        <v>0.43</v>
      </c>
      <c r="I68" s="17" t="n">
        <v>8000</v>
      </c>
      <c r="J68" s="21" t="n">
        <f aca="false">I68*H68</f>
        <v>3440</v>
      </c>
      <c r="K68" s="22"/>
      <c r="L68" s="22"/>
      <c r="M68" s="21"/>
      <c r="N68" s="21"/>
      <c r="O68" s="23"/>
    </row>
    <row r="69" customFormat="false" ht="15" hidden="false" customHeight="false" outlineLevel="0" collapsed="false">
      <c r="A69" s="1"/>
      <c r="B69" s="16"/>
      <c r="C69" s="17"/>
      <c r="D69" s="17"/>
      <c r="E69" s="18"/>
      <c r="F69" s="40" t="s">
        <v>85</v>
      </c>
      <c r="G69" s="7" t="n">
        <v>8</v>
      </c>
      <c r="H69" s="41" t="n">
        <v>3.5</v>
      </c>
      <c r="I69" s="7" t="n">
        <v>400</v>
      </c>
      <c r="J69" s="21" t="n">
        <f aca="false">I69*H69</f>
        <v>1400</v>
      </c>
      <c r="K69" s="43"/>
      <c r="L69" s="43"/>
      <c r="M69" s="42"/>
      <c r="N69" s="42"/>
      <c r="O69" s="44"/>
    </row>
    <row r="70" customFormat="false" ht="15" hidden="false" customHeight="false" outlineLevel="0" collapsed="false">
      <c r="A70" s="1"/>
      <c r="B70" s="16"/>
      <c r="C70" s="17"/>
      <c r="D70" s="17"/>
      <c r="E70" s="18"/>
      <c r="F70" s="40"/>
      <c r="G70" s="7"/>
      <c r="H70" s="41"/>
      <c r="I70" s="7"/>
      <c r="J70" s="42"/>
      <c r="K70" s="43"/>
      <c r="L70" s="43"/>
      <c r="M70" s="42"/>
      <c r="N70" s="42"/>
      <c r="O70" s="44"/>
    </row>
    <row r="71" customFormat="false" ht="15" hidden="false" customHeight="false" outlineLevel="0" collapsed="false">
      <c r="A71" s="1"/>
      <c r="B71" s="16"/>
      <c r="C71" s="17"/>
      <c r="D71" s="17"/>
      <c r="E71" s="18"/>
      <c r="F71" s="40"/>
      <c r="G71" s="7"/>
      <c r="H71" s="41"/>
      <c r="I71" s="7"/>
      <c r="J71" s="42"/>
      <c r="K71" s="43"/>
      <c r="L71" s="43"/>
      <c r="M71" s="42"/>
      <c r="N71" s="42"/>
      <c r="O71" s="44"/>
    </row>
    <row r="72" customFormat="false" ht="15" hidden="false" customHeight="false" outlineLevel="0" collapsed="false">
      <c r="A72" s="1"/>
      <c r="B72" s="16" t="n">
        <v>2</v>
      </c>
      <c r="C72" s="17"/>
      <c r="D72" s="17"/>
      <c r="E72" s="24" t="n">
        <v>9.51</v>
      </c>
      <c r="F72" s="19" t="s">
        <v>77</v>
      </c>
      <c r="G72" s="17" t="n">
        <v>110</v>
      </c>
      <c r="H72" s="20" t="n">
        <v>1.21</v>
      </c>
      <c r="I72" s="17" t="n">
        <v>15000</v>
      </c>
      <c r="J72" s="21" t="n">
        <f aca="false">I72*H72</f>
        <v>18150</v>
      </c>
      <c r="K72" s="22" t="n">
        <f aca="false">E72-(H72+H73+H74+H75)/5-K73</f>
        <v>8.558</v>
      </c>
      <c r="L72" s="22" t="n">
        <f aca="false">K72*84%</f>
        <v>7.18872</v>
      </c>
      <c r="M72" s="21" t="n">
        <f aca="false">L72*15470</f>
        <v>111209.4984</v>
      </c>
      <c r="N72" s="21" t="n">
        <f aca="false">K72*300</f>
        <v>2567.4</v>
      </c>
      <c r="O72" s="23" t="n">
        <f aca="false">N72+J72+M72+J73+J74+J75</f>
        <v>142166.8984</v>
      </c>
    </row>
    <row r="73" customFormat="false" ht="15" hidden="false" customHeight="false" outlineLevel="0" collapsed="false">
      <c r="A73" s="1"/>
      <c r="B73" s="16" t="s">
        <v>17</v>
      </c>
      <c r="C73" s="17"/>
      <c r="D73" s="17"/>
      <c r="E73" s="18"/>
      <c r="F73" s="19" t="s">
        <v>89</v>
      </c>
      <c r="G73" s="17" t="n">
        <v>2</v>
      </c>
      <c r="H73" s="20" t="n">
        <v>0.4</v>
      </c>
      <c r="I73" s="17" t="n">
        <v>12000</v>
      </c>
      <c r="J73" s="21" t="n">
        <f aca="false">I73*H73</f>
        <v>4800</v>
      </c>
      <c r="K73" s="22"/>
      <c r="L73" s="22"/>
      <c r="M73" s="21"/>
      <c r="N73" s="21"/>
      <c r="O73" s="23"/>
    </row>
    <row r="74" customFormat="false" ht="15" hidden="false" customHeight="false" outlineLevel="0" collapsed="false">
      <c r="A74" s="1"/>
      <c r="B74" s="16"/>
      <c r="C74" s="17"/>
      <c r="D74" s="17"/>
      <c r="E74" s="18"/>
      <c r="F74" s="19" t="s">
        <v>78</v>
      </c>
      <c r="G74" s="17" t="n">
        <v>2</v>
      </c>
      <c r="H74" s="20" t="n">
        <v>0.55</v>
      </c>
      <c r="I74" s="17" t="n">
        <v>8000</v>
      </c>
      <c r="J74" s="21" t="n">
        <f aca="false">I74*H74</f>
        <v>4400</v>
      </c>
      <c r="K74" s="22"/>
      <c r="L74" s="22"/>
      <c r="M74" s="21"/>
      <c r="N74" s="21"/>
      <c r="O74" s="23"/>
    </row>
    <row r="75" customFormat="false" ht="15" hidden="false" customHeight="false" outlineLevel="0" collapsed="false">
      <c r="A75" s="1"/>
      <c r="B75" s="16"/>
      <c r="C75" s="17"/>
      <c r="D75" s="17"/>
      <c r="E75" s="18"/>
      <c r="F75" s="19" t="s">
        <v>85</v>
      </c>
      <c r="G75" s="17" t="n">
        <v>16</v>
      </c>
      <c r="H75" s="20" t="n">
        <v>2.6</v>
      </c>
      <c r="I75" s="17" t="n">
        <v>400</v>
      </c>
      <c r="J75" s="21" t="n">
        <f aca="false">I75*H75</f>
        <v>1040</v>
      </c>
      <c r="K75" s="22"/>
      <c r="L75" s="22"/>
      <c r="M75" s="21"/>
      <c r="N75" s="21"/>
      <c r="O75" s="23"/>
    </row>
    <row r="76" customFormat="false" ht="15" hidden="false" customHeight="false" outlineLevel="0" collapsed="false">
      <c r="A76" s="1"/>
      <c r="B76" s="86"/>
      <c r="C76" s="7"/>
      <c r="D76" s="7"/>
      <c r="E76" s="39"/>
      <c r="F76" s="40"/>
      <c r="G76" s="7"/>
      <c r="H76" s="41"/>
      <c r="I76" s="7"/>
      <c r="J76" s="42"/>
      <c r="K76" s="43"/>
      <c r="L76" s="43"/>
      <c r="M76" s="42"/>
      <c r="N76" s="42"/>
      <c r="O76" s="44"/>
    </row>
    <row r="77" customFormat="false" ht="15" hidden="false" customHeight="false" outlineLevel="0" collapsed="false">
      <c r="A77" s="1"/>
      <c r="B77" s="86" t="n">
        <v>3</v>
      </c>
      <c r="C77" s="7"/>
      <c r="D77" s="7"/>
      <c r="E77" s="24" t="n">
        <f aca="false">95.28-45.21</f>
        <v>50.07</v>
      </c>
      <c r="F77" s="19" t="s">
        <v>77</v>
      </c>
      <c r="G77" s="17" t="n">
        <v>612</v>
      </c>
      <c r="H77" s="20" t="n">
        <v>5.25</v>
      </c>
      <c r="I77" s="17" t="n">
        <v>18000</v>
      </c>
      <c r="J77" s="21" t="n">
        <f aca="false">I77*H77</f>
        <v>94500</v>
      </c>
      <c r="K77" s="22" t="n">
        <f aca="false">E77-(H77+H78+H79+H80+H81)/5</f>
        <v>21.264</v>
      </c>
      <c r="L77" s="22" t="n">
        <f aca="false">K77*88.4%</f>
        <v>18.797376</v>
      </c>
      <c r="M77" s="21" t="n">
        <f aca="false">L77*14383</f>
        <v>270362.659008</v>
      </c>
      <c r="N77" s="21"/>
      <c r="O77" s="23" t="n">
        <f aca="false">N77+J77+M77+J78+J79+J80+J81</f>
        <v>446952.659008</v>
      </c>
    </row>
    <row r="78" customFormat="false" ht="15" hidden="false" customHeight="false" outlineLevel="0" collapsed="false">
      <c r="A78" s="1"/>
      <c r="B78" s="16" t="s">
        <v>17</v>
      </c>
      <c r="C78" s="7"/>
      <c r="D78" s="7"/>
      <c r="E78" s="18"/>
      <c r="F78" s="19" t="s">
        <v>77</v>
      </c>
      <c r="G78" s="17" t="n">
        <v>9</v>
      </c>
      <c r="H78" s="20" t="n">
        <v>0.7</v>
      </c>
      <c r="I78" s="17" t="n">
        <v>25000</v>
      </c>
      <c r="J78" s="21" t="n">
        <f aca="false">I78*H78</f>
        <v>17500</v>
      </c>
      <c r="K78" s="22"/>
      <c r="L78" s="22"/>
      <c r="M78" s="21"/>
      <c r="N78" s="21"/>
      <c r="O78" s="23"/>
    </row>
    <row r="79" customFormat="false" ht="15" hidden="false" customHeight="false" outlineLevel="0" collapsed="false">
      <c r="A79" s="1"/>
      <c r="B79" s="86"/>
      <c r="C79" s="7"/>
      <c r="D79" s="7"/>
      <c r="E79" s="18"/>
      <c r="F79" s="19" t="s">
        <v>78</v>
      </c>
      <c r="G79" s="17" t="n">
        <v>32</v>
      </c>
      <c r="H79" s="20" t="n">
        <v>4.06</v>
      </c>
      <c r="I79" s="17" t="n">
        <v>9500</v>
      </c>
      <c r="J79" s="21" t="n">
        <f aca="false">I79*H79</f>
        <v>38570</v>
      </c>
      <c r="K79" s="22"/>
      <c r="L79" s="22"/>
      <c r="M79" s="21"/>
      <c r="N79" s="21"/>
      <c r="O79" s="23"/>
    </row>
    <row r="80" customFormat="false" ht="15" hidden="false" customHeight="false" outlineLevel="0" collapsed="false">
      <c r="A80" s="1"/>
      <c r="B80" s="86"/>
      <c r="C80" s="7"/>
      <c r="D80" s="7"/>
      <c r="E80" s="18"/>
      <c r="F80" s="19" t="s">
        <v>85</v>
      </c>
      <c r="G80" s="17" t="n">
        <v>1</v>
      </c>
      <c r="H80" s="20" t="n">
        <v>130.1</v>
      </c>
      <c r="I80" s="17" t="n">
        <v>200</v>
      </c>
      <c r="J80" s="21" t="n">
        <f aca="false">I80*H80</f>
        <v>26020</v>
      </c>
      <c r="K80" s="22"/>
      <c r="L80" s="22"/>
      <c r="M80" s="21"/>
      <c r="N80" s="21"/>
      <c r="O80" s="23"/>
    </row>
    <row r="81" customFormat="false" ht="15" hidden="false" customHeight="false" outlineLevel="0" collapsed="false">
      <c r="A81" s="1"/>
      <c r="B81" s="86"/>
      <c r="C81" s="7"/>
      <c r="D81" s="7"/>
      <c r="E81" s="39"/>
      <c r="F81" s="40" t="s">
        <v>20</v>
      </c>
      <c r="G81" s="7" t="n">
        <v>1</v>
      </c>
      <c r="H81" s="41" t="n">
        <v>3.92</v>
      </c>
      <c r="I81" s="7" t="n">
        <v>0</v>
      </c>
      <c r="J81" s="42" t="n">
        <f aca="false">I81*H81</f>
        <v>0</v>
      </c>
      <c r="K81" s="43"/>
      <c r="L81" s="43"/>
      <c r="M81" s="42"/>
      <c r="N81" s="42"/>
      <c r="O81" s="44"/>
    </row>
    <row r="82" customFormat="false" ht="15" hidden="false" customHeight="false" outlineLevel="0" collapsed="false">
      <c r="A82" s="1"/>
      <c r="B82" s="25"/>
      <c r="C82" s="26"/>
      <c r="D82" s="26"/>
      <c r="E82" s="27"/>
      <c r="F82" s="28"/>
      <c r="G82" s="28"/>
      <c r="H82" s="29"/>
      <c r="I82" s="26"/>
      <c r="J82" s="30"/>
      <c r="K82" s="27"/>
      <c r="L82" s="27"/>
      <c r="M82" s="27"/>
      <c r="N82" s="31"/>
      <c r="O82" s="32"/>
    </row>
    <row r="83" customFormat="false" ht="15" hidden="false" customHeight="false" outlineLevel="0" collapsed="false">
      <c r="A83" s="1"/>
      <c r="B83" s="33"/>
      <c r="C83" s="34"/>
      <c r="D83" s="34"/>
      <c r="E83" s="35" t="n">
        <f aca="false">SUM(E66:E82)</f>
        <v>65.08</v>
      </c>
      <c r="F83" s="34"/>
      <c r="G83" s="34" t="n">
        <f aca="false">SUM(G66:G82)</f>
        <v>852</v>
      </c>
      <c r="H83" s="35" t="n">
        <f aca="false">SUM(H66:H82)</f>
        <v>154.02</v>
      </c>
      <c r="I83" s="34"/>
      <c r="J83" s="36" t="n">
        <f aca="false">SUM(J66:J82)</f>
        <v>228360</v>
      </c>
      <c r="K83" s="35" t="n">
        <f aca="false">SUM(K66:K82)</f>
        <v>34.276</v>
      </c>
      <c r="L83" s="76" t="n">
        <f aca="false">SUM(L66:L82)</f>
        <v>29.727456</v>
      </c>
      <c r="M83" s="37" t="n">
        <f aca="false">SUM(M66:M82)</f>
        <v>439450.996608</v>
      </c>
      <c r="N83" s="37" t="n">
        <f aca="false">SUM(N66:N82)</f>
        <v>3903.6</v>
      </c>
      <c r="O83" s="38" t="n">
        <f aca="false">SUM(O66:O82)</f>
        <v>671714.596608</v>
      </c>
      <c r="P83" s="0" t="s">
        <v>23</v>
      </c>
    </row>
    <row r="85" customFormat="false" ht="14.25" hidden="false" customHeight="true" outlineLevel="0" collapsed="false">
      <c r="A85" s="1" t="n">
        <v>6</v>
      </c>
      <c r="B85" s="2" t="s">
        <v>0</v>
      </c>
      <c r="C85" s="3" t="s">
        <v>1</v>
      </c>
      <c r="D85" s="3" t="s">
        <v>2</v>
      </c>
      <c r="E85" s="4" t="s">
        <v>3</v>
      </c>
      <c r="F85" s="9" t="s">
        <v>4</v>
      </c>
      <c r="G85" s="9"/>
      <c r="H85" s="9"/>
      <c r="I85" s="9"/>
      <c r="J85" s="9"/>
      <c r="K85" s="3" t="s">
        <v>5</v>
      </c>
      <c r="L85" s="3" t="s">
        <v>6</v>
      </c>
      <c r="M85" s="4" t="s">
        <v>7</v>
      </c>
      <c r="N85" s="4" t="s">
        <v>8</v>
      </c>
      <c r="O85" s="6" t="s">
        <v>9</v>
      </c>
    </row>
    <row r="86" customFormat="false" ht="14.25" hidden="false" customHeight="false" outlineLevel="0" collapsed="false">
      <c r="A86" s="1"/>
      <c r="B86" s="2"/>
      <c r="C86" s="3"/>
      <c r="D86" s="3"/>
      <c r="E86" s="4"/>
      <c r="F86" s="7" t="s">
        <v>10</v>
      </c>
      <c r="G86" s="7" t="s">
        <v>11</v>
      </c>
      <c r="H86" s="7" t="s">
        <v>12</v>
      </c>
      <c r="I86" s="7" t="s">
        <v>13</v>
      </c>
      <c r="J86" s="7" t="s">
        <v>14</v>
      </c>
      <c r="K86" s="3"/>
      <c r="L86" s="3"/>
      <c r="M86" s="4"/>
      <c r="N86" s="4"/>
      <c r="O86" s="6"/>
    </row>
    <row r="87" customFormat="false" ht="15" hidden="false" customHeight="false" outlineLevel="0" collapsed="false">
      <c r="A87" s="1"/>
      <c r="B87" s="8" t="n">
        <v>1</v>
      </c>
      <c r="C87" s="9" t="s">
        <v>90</v>
      </c>
      <c r="D87" s="9"/>
      <c r="E87" s="10" t="n">
        <v>39.5</v>
      </c>
      <c r="F87" s="96" t="s">
        <v>85</v>
      </c>
      <c r="G87" s="85"/>
      <c r="H87" s="97" t="n">
        <v>3.6</v>
      </c>
      <c r="I87" s="85" t="n">
        <v>100</v>
      </c>
      <c r="J87" s="95" t="n">
        <f aca="false">I87*H87</f>
        <v>360</v>
      </c>
      <c r="K87" s="14" t="n">
        <f aca="false">E87-(H87+H88+H89)/5</f>
        <v>32.56</v>
      </c>
      <c r="L87" s="14" t="n">
        <f aca="false">K87*92%</f>
        <v>29.9552</v>
      </c>
      <c r="M87" s="13" t="n">
        <f aca="false">L87*14335</f>
        <v>429407.792</v>
      </c>
      <c r="N87" s="13" t="n">
        <f aca="false">2.2*14200</f>
        <v>31240</v>
      </c>
      <c r="O87" s="15" t="n">
        <f aca="false">N87+J87+M87+J88+J90</f>
        <v>464045.792</v>
      </c>
    </row>
    <row r="88" customFormat="false" ht="15" hidden="false" customHeight="false" outlineLevel="0" collapsed="false">
      <c r="A88" s="1"/>
      <c r="B88" s="16" t="s">
        <v>42</v>
      </c>
      <c r="C88" s="17"/>
      <c r="D88" s="17"/>
      <c r="E88" s="18"/>
      <c r="F88" s="19" t="s">
        <v>20</v>
      </c>
      <c r="G88" s="17"/>
      <c r="H88" s="20" t="n">
        <v>9.3</v>
      </c>
      <c r="I88" s="17" t="n">
        <v>60</v>
      </c>
      <c r="J88" s="21" t="n">
        <f aca="false">I88*H88</f>
        <v>558</v>
      </c>
      <c r="K88" s="22"/>
      <c r="L88" s="22"/>
      <c r="M88" s="21"/>
      <c r="N88" s="21"/>
      <c r="O88" s="23"/>
    </row>
    <row r="89" customFormat="false" ht="15" hidden="false" customHeight="false" outlineLevel="0" collapsed="false">
      <c r="A89" s="1"/>
      <c r="B89" s="16"/>
      <c r="C89" s="17"/>
      <c r="D89" s="17"/>
      <c r="E89" s="18"/>
      <c r="F89" s="19" t="s">
        <v>91</v>
      </c>
      <c r="G89" s="17"/>
      <c r="H89" s="20" t="n">
        <f aca="false">22.3-0.5</f>
        <v>21.8</v>
      </c>
      <c r="I89" s="17" t="n">
        <v>0</v>
      </c>
      <c r="J89" s="21" t="n">
        <v>0</v>
      </c>
      <c r="K89" s="22"/>
      <c r="L89" s="22"/>
      <c r="M89" s="21"/>
      <c r="N89" s="21"/>
      <c r="O89" s="23"/>
    </row>
    <row r="90" customFormat="false" ht="15" hidden="false" customHeight="false" outlineLevel="0" collapsed="false">
      <c r="A90" s="1"/>
      <c r="B90" s="86"/>
      <c r="C90" s="7"/>
      <c r="D90" s="7"/>
      <c r="E90" s="39"/>
      <c r="F90" s="40" t="s">
        <v>92</v>
      </c>
      <c r="G90" s="7" t="n">
        <v>31</v>
      </c>
      <c r="H90" s="41"/>
      <c r="I90" s="7" t="n">
        <v>80</v>
      </c>
      <c r="J90" s="42" t="n">
        <f aca="false">I90*G90</f>
        <v>2480</v>
      </c>
      <c r="K90" s="43"/>
      <c r="L90" s="43"/>
      <c r="M90" s="42"/>
      <c r="N90" s="42"/>
      <c r="O90" s="44"/>
    </row>
    <row r="91" customFormat="false" ht="15" hidden="false" customHeight="false" outlineLevel="0" collapsed="false">
      <c r="A91" s="1"/>
      <c r="B91" s="25"/>
      <c r="C91" s="26"/>
      <c r="D91" s="26"/>
      <c r="E91" s="27"/>
      <c r="F91" s="28"/>
      <c r="G91" s="28"/>
      <c r="H91" s="29"/>
      <c r="I91" s="26"/>
      <c r="J91" s="30"/>
      <c r="K91" s="27"/>
      <c r="L91" s="27"/>
      <c r="M91" s="27"/>
      <c r="N91" s="31"/>
      <c r="O91" s="32"/>
    </row>
    <row r="92" customFormat="false" ht="15" hidden="false" customHeight="false" outlineLevel="0" collapsed="false">
      <c r="A92" s="1"/>
      <c r="B92" s="33"/>
      <c r="C92" s="34"/>
      <c r="D92" s="34"/>
      <c r="E92" s="35" t="n">
        <f aca="false">SUM(E87:E91)</f>
        <v>39.5</v>
      </c>
      <c r="F92" s="34"/>
      <c r="G92" s="34" t="n">
        <f aca="false">SUM(G87:G91)</f>
        <v>31</v>
      </c>
      <c r="H92" s="35" t="n">
        <f aca="false">SUM(H87:H91)</f>
        <v>34.7</v>
      </c>
      <c r="I92" s="34"/>
      <c r="J92" s="36" t="n">
        <f aca="false">SUM(J87:J91)</f>
        <v>3398</v>
      </c>
      <c r="K92" s="35" t="n">
        <f aca="false">SUM(K87:K91)</f>
        <v>32.56</v>
      </c>
      <c r="L92" s="76" t="n">
        <f aca="false">SUM(L87:L91)</f>
        <v>29.9552</v>
      </c>
      <c r="M92" s="37" t="n">
        <f aca="false">SUM(M87:M91)</f>
        <v>429407.792</v>
      </c>
      <c r="N92" s="37" t="n">
        <f aca="false">SUM(N87:N91)</f>
        <v>31240</v>
      </c>
      <c r="O92" s="38" t="n">
        <f aca="false">SUM(O87:O91)</f>
        <v>464045.792</v>
      </c>
      <c r="P92" s="0" t="s">
        <v>23</v>
      </c>
    </row>
    <row r="94" customFormat="false" ht="14.25" hidden="false" customHeight="true" outlineLevel="0" collapsed="false">
      <c r="A94" s="1" t="n">
        <v>7</v>
      </c>
      <c r="B94" s="2" t="s">
        <v>0</v>
      </c>
      <c r="C94" s="3" t="s">
        <v>1</v>
      </c>
      <c r="D94" s="3" t="s">
        <v>2</v>
      </c>
      <c r="E94" s="4" t="s">
        <v>3</v>
      </c>
      <c r="F94" s="9" t="s">
        <v>4</v>
      </c>
      <c r="G94" s="9"/>
      <c r="H94" s="9"/>
      <c r="I94" s="9"/>
      <c r="J94" s="9"/>
      <c r="K94" s="3" t="s">
        <v>5</v>
      </c>
      <c r="L94" s="3" t="s">
        <v>6</v>
      </c>
      <c r="M94" s="4" t="s">
        <v>7</v>
      </c>
      <c r="N94" s="4" t="s">
        <v>8</v>
      </c>
      <c r="O94" s="6" t="s">
        <v>9</v>
      </c>
    </row>
    <row r="95" customFormat="false" ht="14.25" hidden="false" customHeight="false" outlineLevel="0" collapsed="false">
      <c r="A95" s="1"/>
      <c r="B95" s="2"/>
      <c r="C95" s="3"/>
      <c r="D95" s="3"/>
      <c r="E95" s="4"/>
      <c r="F95" s="7" t="s">
        <v>10</v>
      </c>
      <c r="G95" s="7" t="s">
        <v>11</v>
      </c>
      <c r="H95" s="7" t="s">
        <v>12</v>
      </c>
      <c r="I95" s="7" t="s">
        <v>13</v>
      </c>
      <c r="J95" s="7" t="s">
        <v>14</v>
      </c>
      <c r="K95" s="3"/>
      <c r="L95" s="3"/>
      <c r="M95" s="4"/>
      <c r="N95" s="4"/>
      <c r="O95" s="6"/>
    </row>
    <row r="96" customFormat="false" ht="15" hidden="false" customHeight="false" outlineLevel="0" collapsed="false">
      <c r="A96" s="1"/>
      <c r="B96" s="8" t="n">
        <v>1</v>
      </c>
      <c r="C96" s="9" t="s">
        <v>93</v>
      </c>
      <c r="D96" s="88"/>
      <c r="E96" s="10" t="n">
        <v>0.66</v>
      </c>
      <c r="F96" s="11"/>
      <c r="G96" s="9" t="n">
        <v>0</v>
      </c>
      <c r="H96" s="51" t="n">
        <v>0</v>
      </c>
      <c r="I96" s="9" t="n">
        <v>0</v>
      </c>
      <c r="J96" s="13" t="n">
        <f aca="false">I96*H96</f>
        <v>0</v>
      </c>
      <c r="K96" s="14" t="n">
        <f aca="false">E96-(H96+H97)/5</f>
        <v>0.66</v>
      </c>
      <c r="L96" s="14" t="n">
        <f aca="false">K96*82%</f>
        <v>0.5412</v>
      </c>
      <c r="M96" s="13" t="n">
        <f aca="false">L96*14432</f>
        <v>7810.5984</v>
      </c>
      <c r="N96" s="13"/>
      <c r="O96" s="15" t="n">
        <f aca="false">N96+M96+J96+J97</f>
        <v>7810.5984</v>
      </c>
    </row>
    <row r="97" customFormat="false" ht="15" hidden="false" customHeight="false" outlineLevel="0" collapsed="false">
      <c r="A97" s="1"/>
      <c r="B97" s="16" t="s">
        <v>62</v>
      </c>
      <c r="C97" s="17"/>
      <c r="D97" s="83"/>
      <c r="E97" s="18"/>
      <c r="F97" s="19"/>
      <c r="G97" s="17"/>
      <c r="H97" s="81"/>
      <c r="I97" s="17"/>
      <c r="J97" s="21"/>
      <c r="K97" s="22"/>
      <c r="L97" s="22"/>
      <c r="M97" s="21"/>
      <c r="N97" s="21"/>
      <c r="O97" s="23"/>
    </row>
    <row r="98" customFormat="false" ht="15" hidden="false" customHeight="false" outlineLevel="0" collapsed="false">
      <c r="A98" s="1"/>
      <c r="B98" s="16"/>
      <c r="C98" s="17"/>
      <c r="D98" s="83"/>
      <c r="E98" s="18"/>
      <c r="F98" s="19"/>
      <c r="G98" s="17"/>
      <c r="H98" s="81"/>
      <c r="I98" s="17"/>
      <c r="J98" s="21"/>
      <c r="K98" s="22"/>
      <c r="L98" s="22"/>
      <c r="M98" s="21"/>
      <c r="N98" s="21"/>
      <c r="O98" s="23"/>
    </row>
    <row r="99" customFormat="false" ht="15" hidden="false" customHeight="false" outlineLevel="0" collapsed="false">
      <c r="A99" s="1"/>
      <c r="B99" s="16"/>
      <c r="C99" s="17"/>
      <c r="D99" s="83"/>
      <c r="E99" s="18"/>
      <c r="F99" s="19"/>
      <c r="G99" s="17"/>
      <c r="H99" s="81"/>
      <c r="I99" s="17"/>
      <c r="J99" s="21"/>
      <c r="K99" s="22"/>
      <c r="L99" s="22"/>
      <c r="M99" s="21"/>
      <c r="N99" s="21"/>
      <c r="O99" s="23"/>
    </row>
    <row r="100" customFormat="false" ht="15" hidden="false" customHeight="false" outlineLevel="0" collapsed="false">
      <c r="A100" s="1"/>
      <c r="B100" s="16"/>
      <c r="C100" s="17"/>
      <c r="D100" s="83"/>
      <c r="E100" s="24"/>
      <c r="F100" s="19"/>
      <c r="G100" s="17"/>
      <c r="H100" s="20"/>
      <c r="I100" s="17"/>
      <c r="J100" s="21"/>
      <c r="K100" s="22"/>
      <c r="L100" s="22"/>
      <c r="M100" s="21"/>
      <c r="N100" s="21"/>
      <c r="O100" s="23"/>
    </row>
    <row r="101" customFormat="false" ht="15" hidden="false" customHeight="false" outlineLevel="0" collapsed="false">
      <c r="A101" s="1"/>
      <c r="B101" s="16" t="n">
        <v>2</v>
      </c>
      <c r="C101" s="17"/>
      <c r="D101" s="83"/>
      <c r="E101" s="24" t="n">
        <v>54.42</v>
      </c>
      <c r="F101" s="19"/>
      <c r="G101" s="17" t="n">
        <v>0</v>
      </c>
      <c r="H101" s="81" t="n">
        <v>3.68</v>
      </c>
      <c r="I101" s="17" t="n">
        <v>40000</v>
      </c>
      <c r="J101" s="21" t="n">
        <f aca="false">I101*H101</f>
        <v>147200</v>
      </c>
      <c r="K101" s="22" t="n">
        <f aca="false">E101-(H101+H102)/5</f>
        <v>53.684</v>
      </c>
      <c r="L101" s="22" t="n">
        <f aca="false">K101*98%</f>
        <v>52.61032</v>
      </c>
      <c r="M101" s="21" t="n">
        <f aca="false">L101*14432</f>
        <v>759272.13824</v>
      </c>
      <c r="N101" s="21" t="n">
        <f aca="false">1.074*14600</f>
        <v>15680.4</v>
      </c>
      <c r="O101" s="23" t="n">
        <f aca="false">N101+M101+J101+J102</f>
        <v>922152.53824</v>
      </c>
    </row>
    <row r="102" customFormat="false" ht="15" hidden="false" customHeight="false" outlineLevel="0" collapsed="false">
      <c r="A102" s="1"/>
      <c r="B102" s="16" t="s">
        <v>42</v>
      </c>
      <c r="C102" s="17"/>
      <c r="D102" s="83"/>
      <c r="E102" s="18"/>
      <c r="F102" s="19"/>
      <c r="G102" s="17"/>
      <c r="H102" s="20"/>
      <c r="I102" s="17"/>
      <c r="J102" s="21"/>
      <c r="K102" s="22"/>
      <c r="L102" s="22"/>
      <c r="M102" s="21"/>
      <c r="N102" s="21"/>
      <c r="O102" s="23"/>
    </row>
    <row r="103" customFormat="false" ht="15" hidden="false" customHeight="false" outlineLevel="0" collapsed="false">
      <c r="A103" s="1"/>
      <c r="B103" s="16"/>
      <c r="C103" s="17"/>
      <c r="D103" s="83"/>
      <c r="E103" s="18"/>
      <c r="F103" s="19"/>
      <c r="G103" s="17"/>
      <c r="H103" s="81"/>
      <c r="I103" s="17"/>
      <c r="J103" s="21"/>
      <c r="K103" s="22"/>
      <c r="L103" s="22"/>
      <c r="M103" s="21"/>
      <c r="N103" s="21"/>
      <c r="O103" s="23"/>
    </row>
    <row r="104" customFormat="false" ht="15" hidden="false" customHeight="false" outlineLevel="0" collapsed="false">
      <c r="A104" s="1"/>
      <c r="B104" s="25"/>
      <c r="C104" s="26"/>
      <c r="D104" s="26"/>
      <c r="E104" s="27"/>
      <c r="F104" s="28"/>
      <c r="G104" s="28"/>
      <c r="H104" s="29"/>
      <c r="I104" s="26"/>
      <c r="J104" s="30"/>
      <c r="K104" s="27"/>
      <c r="L104" s="27"/>
      <c r="M104" s="27"/>
      <c r="N104" s="31"/>
      <c r="O104" s="32"/>
    </row>
    <row r="105" customFormat="false" ht="15" hidden="false" customHeight="false" outlineLevel="0" collapsed="false">
      <c r="A105" s="1"/>
      <c r="B105" s="33"/>
      <c r="C105" s="34"/>
      <c r="D105" s="34"/>
      <c r="E105" s="35" t="n">
        <f aca="false">SUM(E96:E104)</f>
        <v>55.08</v>
      </c>
      <c r="F105" s="34"/>
      <c r="G105" s="34" t="n">
        <f aca="false">SUM(G96:G104)</f>
        <v>0</v>
      </c>
      <c r="H105" s="35" t="n">
        <f aca="false">SUM(H96:H104)</f>
        <v>3.68</v>
      </c>
      <c r="I105" s="34"/>
      <c r="J105" s="36" t="n">
        <f aca="false">SUM(J96:J104)</f>
        <v>147200</v>
      </c>
      <c r="K105" s="35" t="n">
        <f aca="false">SUM(K96:K104)</f>
        <v>54.344</v>
      </c>
      <c r="L105" s="35" t="n">
        <f aca="false">SUM(L96:L104)</f>
        <v>53.15152</v>
      </c>
      <c r="M105" s="36" t="n">
        <f aca="false">SUM(M96:M104)</f>
        <v>767082.73664</v>
      </c>
      <c r="N105" s="37" t="n">
        <f aca="false">SUM(N96:N104)</f>
        <v>15680.4</v>
      </c>
      <c r="O105" s="38" t="n">
        <f aca="false">SUM(O96:O104)</f>
        <v>929963.13664</v>
      </c>
    </row>
    <row r="106" customFormat="false" ht="13.5" hidden="false" customHeight="true" outlineLevel="0" collapsed="false">
      <c r="A106" s="98"/>
      <c r="B106" s="99"/>
      <c r="C106" s="99"/>
      <c r="D106" s="99"/>
      <c r="E106" s="100"/>
      <c r="F106" s="99"/>
      <c r="G106" s="99"/>
      <c r="H106" s="100"/>
      <c r="I106" s="99"/>
      <c r="J106" s="101"/>
      <c r="K106" s="100"/>
      <c r="L106" s="100"/>
      <c r="M106" s="101"/>
      <c r="N106" s="101"/>
      <c r="O106" s="102"/>
    </row>
    <row r="107" customFormat="false" ht="14.25" hidden="false" customHeight="true" outlineLevel="0" collapsed="false">
      <c r="A107" s="1" t="n">
        <v>8</v>
      </c>
      <c r="B107" s="2" t="s">
        <v>0</v>
      </c>
      <c r="C107" s="3" t="s">
        <v>1</v>
      </c>
      <c r="D107" s="3" t="s">
        <v>2</v>
      </c>
      <c r="E107" s="4" t="s">
        <v>3</v>
      </c>
      <c r="F107" s="9" t="s">
        <v>4</v>
      </c>
      <c r="G107" s="9"/>
      <c r="H107" s="9"/>
      <c r="I107" s="9"/>
      <c r="J107" s="9"/>
      <c r="K107" s="3" t="s">
        <v>5</v>
      </c>
      <c r="L107" s="3" t="s">
        <v>6</v>
      </c>
      <c r="M107" s="4" t="s">
        <v>7</v>
      </c>
      <c r="N107" s="4" t="s">
        <v>8</v>
      </c>
      <c r="O107" s="6" t="s">
        <v>9</v>
      </c>
    </row>
    <row r="108" customFormat="false" ht="14.25" hidden="false" customHeight="false" outlineLevel="0" collapsed="false">
      <c r="A108" s="1"/>
      <c r="B108" s="2"/>
      <c r="C108" s="3"/>
      <c r="D108" s="3"/>
      <c r="E108" s="4"/>
      <c r="F108" s="7" t="s">
        <v>10</v>
      </c>
      <c r="G108" s="7" t="s">
        <v>11</v>
      </c>
      <c r="H108" s="7" t="s">
        <v>12</v>
      </c>
      <c r="I108" s="7" t="s">
        <v>13</v>
      </c>
      <c r="J108" s="7" t="s">
        <v>14</v>
      </c>
      <c r="K108" s="3"/>
      <c r="L108" s="3"/>
      <c r="M108" s="4"/>
      <c r="N108" s="4"/>
      <c r="O108" s="6"/>
    </row>
    <row r="109" customFormat="false" ht="15" hidden="false" customHeight="false" outlineLevel="0" collapsed="false">
      <c r="A109" s="1"/>
      <c r="B109" s="8" t="n">
        <v>1</v>
      </c>
      <c r="C109" s="9" t="s">
        <v>94</v>
      </c>
      <c r="D109" s="88"/>
      <c r="E109" s="10" t="n">
        <v>18.02</v>
      </c>
      <c r="F109" s="96" t="s">
        <v>95</v>
      </c>
      <c r="G109" s="85" t="n">
        <v>32</v>
      </c>
      <c r="H109" s="97" t="n">
        <v>0.65</v>
      </c>
      <c r="I109" s="85" t="n">
        <v>9500</v>
      </c>
      <c r="J109" s="95" t="n">
        <f aca="false">I109*H109</f>
        <v>6175</v>
      </c>
      <c r="K109" s="103" t="n">
        <f aca="false">E109-(H109+H110+H111+H112+H113)/5</f>
        <v>14.852</v>
      </c>
      <c r="L109" s="14" t="n">
        <f aca="false">K109*70%</f>
        <v>10.3964</v>
      </c>
      <c r="M109" s="13" t="n">
        <f aca="false">L109*15200</f>
        <v>158025.28</v>
      </c>
      <c r="N109" s="13" t="n">
        <f aca="false">K109*300</f>
        <v>4455.6</v>
      </c>
      <c r="O109" s="15" t="n">
        <f aca="false">N109+J109+M109+J110+J111+J112+J113</f>
        <v>183972.68</v>
      </c>
    </row>
    <row r="110" customFormat="false" ht="15" hidden="false" customHeight="false" outlineLevel="0" collapsed="false">
      <c r="A110" s="1"/>
      <c r="B110" s="16" t="s">
        <v>96</v>
      </c>
      <c r="C110" s="17"/>
      <c r="D110" s="83"/>
      <c r="E110" s="18"/>
      <c r="F110" s="19" t="s">
        <v>97</v>
      </c>
      <c r="G110" s="17" t="n">
        <v>45</v>
      </c>
      <c r="H110" s="20" t="n">
        <v>1.7</v>
      </c>
      <c r="I110" s="17" t="n">
        <v>8000</v>
      </c>
      <c r="J110" s="21" t="n">
        <f aca="false">I110*H110</f>
        <v>13600</v>
      </c>
      <c r="K110" s="22"/>
      <c r="L110" s="22"/>
      <c r="M110" s="21"/>
      <c r="N110" s="21"/>
      <c r="O110" s="23"/>
    </row>
    <row r="111" customFormat="false" ht="15" hidden="false" customHeight="false" outlineLevel="0" collapsed="false">
      <c r="A111" s="1"/>
      <c r="B111" s="16"/>
      <c r="C111" s="17"/>
      <c r="D111" s="83"/>
      <c r="E111" s="18"/>
      <c r="F111" s="19" t="s">
        <v>98</v>
      </c>
      <c r="G111" s="17" t="n">
        <v>3</v>
      </c>
      <c r="H111" s="20" t="n">
        <v>3.8</v>
      </c>
      <c r="I111" s="17" t="n">
        <v>150</v>
      </c>
      <c r="J111" s="21" t="n">
        <f aca="false">I111*H111</f>
        <v>570</v>
      </c>
      <c r="K111" s="22"/>
      <c r="L111" s="22"/>
      <c r="M111" s="21"/>
      <c r="N111" s="21"/>
      <c r="O111" s="23"/>
    </row>
    <row r="112" customFormat="false" ht="15" hidden="false" customHeight="false" outlineLevel="0" collapsed="false">
      <c r="A112" s="1"/>
      <c r="B112" s="16"/>
      <c r="C112" s="17"/>
      <c r="D112" s="83"/>
      <c r="E112" s="18"/>
      <c r="F112" s="19" t="s">
        <v>99</v>
      </c>
      <c r="G112" s="17" t="n">
        <v>7</v>
      </c>
      <c r="H112" s="20" t="n">
        <v>8.89</v>
      </c>
      <c r="I112" s="17" t="n">
        <v>120</v>
      </c>
      <c r="J112" s="21" t="n">
        <f aca="false">I112*H112</f>
        <v>1066.8</v>
      </c>
      <c r="K112" s="22"/>
      <c r="L112" s="43"/>
      <c r="M112" s="42"/>
      <c r="N112" s="42"/>
      <c r="O112" s="44"/>
    </row>
    <row r="113" customFormat="false" ht="15" hidden="false" customHeight="false" outlineLevel="0" collapsed="false">
      <c r="A113" s="1"/>
      <c r="B113" s="16"/>
      <c r="C113" s="17"/>
      <c r="D113" s="83"/>
      <c r="E113" s="24"/>
      <c r="F113" s="19" t="s">
        <v>99</v>
      </c>
      <c r="G113" s="17" t="n">
        <v>21</v>
      </c>
      <c r="H113" s="20" t="n">
        <v>0.8</v>
      </c>
      <c r="I113" s="17" t="n">
        <v>100</v>
      </c>
      <c r="J113" s="21" t="n">
        <f aca="false">I113*H113</f>
        <v>80</v>
      </c>
      <c r="K113" s="22"/>
      <c r="L113" s="22"/>
      <c r="M113" s="21"/>
      <c r="N113" s="21"/>
      <c r="O113" s="23"/>
    </row>
    <row r="114" customFormat="false" ht="15" hidden="false" customHeight="false" outlineLevel="0" collapsed="false">
      <c r="A114" s="1"/>
      <c r="B114" s="16"/>
      <c r="C114" s="17"/>
      <c r="D114" s="83"/>
      <c r="E114" s="24"/>
      <c r="F114" s="19"/>
      <c r="G114" s="17"/>
      <c r="H114" s="81"/>
      <c r="I114" s="17"/>
      <c r="J114" s="21"/>
      <c r="K114" s="22"/>
      <c r="L114" s="22"/>
      <c r="M114" s="21"/>
      <c r="N114" s="21"/>
      <c r="O114" s="23"/>
    </row>
    <row r="115" customFormat="false" ht="15" hidden="false" customHeight="false" outlineLevel="0" collapsed="false">
      <c r="A115" s="1"/>
      <c r="B115" s="25"/>
      <c r="C115" s="26"/>
      <c r="D115" s="26"/>
      <c r="E115" s="27"/>
      <c r="F115" s="28"/>
      <c r="G115" s="28"/>
      <c r="H115" s="29"/>
      <c r="I115" s="26"/>
      <c r="J115" s="30"/>
      <c r="K115" s="27"/>
      <c r="L115" s="27"/>
      <c r="M115" s="27"/>
      <c r="N115" s="31"/>
      <c r="O115" s="32"/>
    </row>
    <row r="116" customFormat="false" ht="15" hidden="false" customHeight="false" outlineLevel="0" collapsed="false">
      <c r="A116" s="1"/>
      <c r="B116" s="33"/>
      <c r="C116" s="34"/>
      <c r="D116" s="34"/>
      <c r="E116" s="35" t="n">
        <f aca="false">SUM(E109:E115)</f>
        <v>18.02</v>
      </c>
      <c r="F116" s="34"/>
      <c r="G116" s="34" t="n">
        <f aca="false">SUM(G109:G115)</f>
        <v>108</v>
      </c>
      <c r="H116" s="35" t="n">
        <f aca="false">SUM(H109:H115)</f>
        <v>15.84</v>
      </c>
      <c r="I116" s="34"/>
      <c r="J116" s="36" t="n">
        <f aca="false">SUM(J109:J115)</f>
        <v>21491.8</v>
      </c>
      <c r="K116" s="35" t="n">
        <f aca="false">SUM(K109:K115)</f>
        <v>14.852</v>
      </c>
      <c r="L116" s="35" t="n">
        <f aca="false">SUM(L109:L115)</f>
        <v>10.3964</v>
      </c>
      <c r="M116" s="36" t="n">
        <f aca="false">SUM(M109:M115)</f>
        <v>158025.28</v>
      </c>
      <c r="N116" s="37" t="n">
        <f aca="false">SUM(N109:N115)</f>
        <v>4455.6</v>
      </c>
      <c r="O116" s="38" t="n">
        <f aca="false">SUM(O109:O115)</f>
        <v>183972.68</v>
      </c>
      <c r="P116" s="0" t="s">
        <v>23</v>
      </c>
    </row>
    <row r="118" customFormat="false" ht="14.25" hidden="false" customHeight="true" outlineLevel="0" collapsed="false">
      <c r="A118" s="1" t="n">
        <v>9</v>
      </c>
      <c r="B118" s="2" t="s">
        <v>0</v>
      </c>
      <c r="C118" s="3" t="s">
        <v>1</v>
      </c>
      <c r="D118" s="3" t="s">
        <v>2</v>
      </c>
      <c r="E118" s="4" t="s">
        <v>3</v>
      </c>
      <c r="F118" s="9" t="s">
        <v>4</v>
      </c>
      <c r="G118" s="9"/>
      <c r="H118" s="9"/>
      <c r="I118" s="9"/>
      <c r="J118" s="9"/>
      <c r="K118" s="3" t="s">
        <v>5</v>
      </c>
      <c r="L118" s="3" t="s">
        <v>6</v>
      </c>
      <c r="M118" s="4" t="s">
        <v>7</v>
      </c>
      <c r="N118" s="4" t="s">
        <v>8</v>
      </c>
      <c r="O118" s="6" t="s">
        <v>9</v>
      </c>
    </row>
    <row r="119" customFormat="false" ht="14.25" hidden="false" customHeight="false" outlineLevel="0" collapsed="false">
      <c r="A119" s="1"/>
      <c r="B119" s="2"/>
      <c r="C119" s="3"/>
      <c r="D119" s="3"/>
      <c r="E119" s="4"/>
      <c r="F119" s="7" t="s">
        <v>10</v>
      </c>
      <c r="G119" s="7" t="s">
        <v>11</v>
      </c>
      <c r="H119" s="7" t="s">
        <v>12</v>
      </c>
      <c r="I119" s="7" t="s">
        <v>13</v>
      </c>
      <c r="J119" s="7" t="s">
        <v>14</v>
      </c>
      <c r="K119" s="3"/>
      <c r="L119" s="3"/>
      <c r="M119" s="4"/>
      <c r="N119" s="4"/>
      <c r="O119" s="6"/>
    </row>
    <row r="120" customFormat="false" ht="15" hidden="false" customHeight="false" outlineLevel="0" collapsed="false">
      <c r="A120" s="1"/>
      <c r="B120" s="8" t="n">
        <v>1</v>
      </c>
      <c r="C120" s="9" t="s">
        <v>49</v>
      </c>
      <c r="D120" s="9"/>
      <c r="E120" s="10" t="n">
        <v>8.9</v>
      </c>
      <c r="F120" s="11" t="s">
        <v>91</v>
      </c>
      <c r="G120" s="9" t="n">
        <v>1</v>
      </c>
      <c r="H120" s="12" t="n">
        <v>8.18</v>
      </c>
      <c r="I120" s="9" t="n">
        <v>0</v>
      </c>
      <c r="J120" s="13" t="n">
        <f aca="false">I120*H120</f>
        <v>0</v>
      </c>
      <c r="K120" s="14" t="n">
        <f aca="false">E120-(H120+H121)/5</f>
        <v>7.264</v>
      </c>
      <c r="L120" s="14" t="n">
        <f aca="false">K120*95%</f>
        <v>6.9008</v>
      </c>
      <c r="M120" s="13" t="n">
        <f aca="false">L120*14432</f>
        <v>99592.3456</v>
      </c>
      <c r="N120" s="13" t="n">
        <f aca="false">K120*483</f>
        <v>3508.512</v>
      </c>
      <c r="O120" s="15" t="n">
        <f aca="false">N120+J120+M120</f>
        <v>103100.8576</v>
      </c>
    </row>
    <row r="121" customFormat="false" ht="15" hidden="false" customHeight="false" outlineLevel="0" collapsed="false">
      <c r="A121" s="1"/>
      <c r="B121" s="16" t="s">
        <v>42</v>
      </c>
      <c r="C121" s="17"/>
      <c r="D121" s="17"/>
      <c r="E121" s="18"/>
      <c r="F121" s="19"/>
      <c r="G121" s="17"/>
      <c r="H121" s="20"/>
      <c r="I121" s="17"/>
      <c r="J121" s="21"/>
      <c r="K121" s="22"/>
      <c r="L121" s="22"/>
      <c r="M121" s="21"/>
      <c r="N121" s="21"/>
      <c r="O121" s="23"/>
    </row>
    <row r="122" customFormat="false" ht="15" hidden="false" customHeight="false" outlineLevel="0" collapsed="false">
      <c r="A122" s="1"/>
      <c r="B122" s="16"/>
      <c r="C122" s="17"/>
      <c r="D122" s="17"/>
      <c r="E122" s="18"/>
      <c r="F122" s="19"/>
      <c r="G122" s="17"/>
      <c r="H122" s="20"/>
      <c r="I122" s="17"/>
      <c r="J122" s="21"/>
      <c r="K122" s="22"/>
      <c r="L122" s="22"/>
      <c r="M122" s="21"/>
      <c r="N122" s="21"/>
      <c r="O122" s="23"/>
    </row>
    <row r="123" customFormat="false" ht="15" hidden="false" customHeight="false" outlineLevel="0" collapsed="false">
      <c r="A123" s="1"/>
      <c r="B123" s="16"/>
      <c r="C123" s="17"/>
      <c r="D123" s="17"/>
      <c r="E123" s="18"/>
      <c r="F123" s="19"/>
      <c r="G123" s="17"/>
      <c r="H123" s="20"/>
      <c r="I123" s="17"/>
      <c r="J123" s="21"/>
      <c r="K123" s="22"/>
      <c r="L123" s="22"/>
      <c r="M123" s="42"/>
      <c r="N123" s="42"/>
      <c r="O123" s="23"/>
    </row>
    <row r="124" customFormat="false" ht="15" hidden="false" customHeight="false" outlineLevel="0" collapsed="false">
      <c r="A124" s="1"/>
      <c r="B124" s="16" t="n">
        <v>2</v>
      </c>
      <c r="C124" s="17"/>
      <c r="D124" s="17"/>
      <c r="E124" s="24" t="n">
        <f aca="false">11.02-1.69</f>
        <v>9.33</v>
      </c>
      <c r="F124" s="19"/>
      <c r="G124" s="17"/>
      <c r="H124" s="20"/>
      <c r="I124" s="17"/>
      <c r="J124" s="21"/>
      <c r="K124" s="22" t="n">
        <f aca="false">E124-(H124+H125)/5</f>
        <v>9.33</v>
      </c>
      <c r="L124" s="22" t="n">
        <f aca="false">K124*81%</f>
        <v>7.5573</v>
      </c>
      <c r="M124" s="21" t="n">
        <f aca="false">L124*14432</f>
        <v>109066.9536</v>
      </c>
      <c r="N124" s="21" t="n">
        <f aca="false">K124*483</f>
        <v>4506.39</v>
      </c>
      <c r="O124" s="23" t="n">
        <f aca="false">N124+J124+M124</f>
        <v>113573.3436</v>
      </c>
    </row>
    <row r="125" customFormat="false" ht="15" hidden="false" customHeight="false" outlineLevel="0" collapsed="false">
      <c r="A125" s="1"/>
      <c r="B125" s="16" t="s">
        <v>17</v>
      </c>
      <c r="C125" s="17"/>
      <c r="D125" s="17"/>
      <c r="E125" s="18"/>
      <c r="F125" s="19"/>
      <c r="G125" s="17"/>
      <c r="H125" s="20"/>
      <c r="I125" s="17"/>
      <c r="J125" s="21"/>
      <c r="K125" s="22"/>
      <c r="L125" s="22"/>
      <c r="M125" s="21"/>
      <c r="N125" s="21"/>
      <c r="O125" s="23"/>
    </row>
    <row r="126" customFormat="false" ht="15" hidden="false" customHeight="false" outlineLevel="0" collapsed="false">
      <c r="A126" s="1"/>
      <c r="B126" s="16"/>
      <c r="C126" s="17"/>
      <c r="D126" s="17"/>
      <c r="E126" s="18"/>
      <c r="F126" s="19"/>
      <c r="G126" s="17"/>
      <c r="H126" s="20"/>
      <c r="I126" s="17"/>
      <c r="J126" s="21"/>
      <c r="K126" s="22"/>
      <c r="L126" s="22"/>
      <c r="M126" s="21"/>
      <c r="N126" s="21"/>
      <c r="O126" s="23"/>
    </row>
    <row r="127" customFormat="false" ht="15" hidden="false" customHeight="false" outlineLevel="0" collapsed="false">
      <c r="A127" s="1"/>
      <c r="B127" s="86"/>
      <c r="C127" s="7"/>
      <c r="D127" s="7"/>
      <c r="E127" s="39"/>
      <c r="F127" s="40"/>
      <c r="G127" s="7"/>
      <c r="H127" s="41"/>
      <c r="I127" s="7"/>
      <c r="J127" s="42"/>
      <c r="K127" s="43"/>
      <c r="L127" s="43"/>
      <c r="M127" s="42"/>
      <c r="N127" s="42"/>
      <c r="O127" s="44"/>
    </row>
    <row r="128" customFormat="false" ht="15" hidden="false" customHeight="false" outlineLevel="0" collapsed="false">
      <c r="A128" s="1"/>
      <c r="B128" s="16" t="n">
        <v>3</v>
      </c>
      <c r="C128" s="17"/>
      <c r="D128" s="17"/>
      <c r="E128" s="24" t="n">
        <f aca="false">5.5-4.8</f>
        <v>0.7</v>
      </c>
      <c r="F128" s="19" t="s">
        <v>16</v>
      </c>
      <c r="G128" s="17" t="n">
        <v>12</v>
      </c>
      <c r="H128" s="20" t="n">
        <v>0.09</v>
      </c>
      <c r="I128" s="17" t="n">
        <v>40000</v>
      </c>
      <c r="J128" s="21" t="n">
        <f aca="false">I128*H128</f>
        <v>3600</v>
      </c>
      <c r="K128" s="22" t="n">
        <f aca="false">E128-(H128+H129)/5</f>
        <v>0.682</v>
      </c>
      <c r="L128" s="22" t="n">
        <f aca="false">K128*81%</f>
        <v>0.55242</v>
      </c>
      <c r="M128" s="21" t="n">
        <f aca="false">L128*14432</f>
        <v>7972.52544</v>
      </c>
      <c r="N128" s="21" t="n">
        <f aca="false">K128*483+500</f>
        <v>829.406</v>
      </c>
      <c r="O128" s="23" t="n">
        <f aca="false">N128+J128+M128</f>
        <v>12401.93144</v>
      </c>
    </row>
    <row r="129" customFormat="false" ht="15" hidden="false" customHeight="false" outlineLevel="0" collapsed="false">
      <c r="A129" s="1"/>
      <c r="B129" s="16" t="s">
        <v>17</v>
      </c>
      <c r="C129" s="17"/>
      <c r="D129" s="17"/>
      <c r="E129" s="18"/>
      <c r="F129" s="19"/>
      <c r="G129" s="17"/>
      <c r="H129" s="20"/>
      <c r="I129" s="17"/>
      <c r="J129" s="21"/>
      <c r="K129" s="22"/>
      <c r="L129" s="22"/>
      <c r="M129" s="21"/>
      <c r="N129" s="21"/>
      <c r="O129" s="23"/>
    </row>
    <row r="130" customFormat="false" ht="15" hidden="false" customHeight="false" outlineLevel="0" collapsed="false">
      <c r="A130" s="1"/>
      <c r="B130" s="16"/>
      <c r="C130" s="17"/>
      <c r="D130" s="17"/>
      <c r="E130" s="18"/>
      <c r="F130" s="19"/>
      <c r="G130" s="17"/>
      <c r="H130" s="20"/>
      <c r="I130" s="17"/>
      <c r="J130" s="21"/>
      <c r="K130" s="22"/>
      <c r="L130" s="22"/>
      <c r="M130" s="21"/>
      <c r="N130" s="42"/>
      <c r="O130" s="23"/>
    </row>
    <row r="131" customFormat="false" ht="15" hidden="false" customHeight="false" outlineLevel="0" collapsed="false">
      <c r="A131" s="1"/>
      <c r="B131" s="86" t="n">
        <v>4</v>
      </c>
      <c r="C131" s="7" t="s">
        <v>100</v>
      </c>
      <c r="D131" s="7"/>
      <c r="E131" s="24" t="n">
        <f aca="false">31.43-29.274</f>
        <v>2.156</v>
      </c>
      <c r="F131" s="19" t="s">
        <v>16</v>
      </c>
      <c r="G131" s="17" t="n">
        <v>101</v>
      </c>
      <c r="H131" s="20" t="n">
        <v>0.47</v>
      </c>
      <c r="I131" s="17" t="n">
        <v>40000</v>
      </c>
      <c r="J131" s="21" t="n">
        <f aca="false">I131*H131</f>
        <v>18800</v>
      </c>
      <c r="K131" s="22" t="n">
        <f aca="false">E131-(H131+H132)/5</f>
        <v>1.996</v>
      </c>
      <c r="L131" s="22" t="n">
        <f aca="false">K131*81%</f>
        <v>1.61676</v>
      </c>
      <c r="M131" s="21" t="n">
        <f aca="false">L131*14432</f>
        <v>23333.08032</v>
      </c>
      <c r="N131" s="21" t="n">
        <f aca="false">K131*483+500</f>
        <v>1464.068</v>
      </c>
      <c r="O131" s="23" t="n">
        <f aca="false">N131+J131+M131+J132</f>
        <v>43663.14832</v>
      </c>
    </row>
    <row r="132" customFormat="false" ht="15" hidden="false" customHeight="false" outlineLevel="0" collapsed="false">
      <c r="A132" s="1"/>
      <c r="B132" s="16" t="s">
        <v>17</v>
      </c>
      <c r="C132" s="7" t="n">
        <v>606</v>
      </c>
      <c r="D132" s="7"/>
      <c r="E132" s="39"/>
      <c r="F132" s="40" t="s">
        <v>19</v>
      </c>
      <c r="G132" s="7" t="n">
        <v>2</v>
      </c>
      <c r="H132" s="41" t="n">
        <v>0.33</v>
      </c>
      <c r="I132" s="7" t="n">
        <v>200</v>
      </c>
      <c r="J132" s="42" t="n">
        <f aca="false">I132*H132</f>
        <v>66</v>
      </c>
      <c r="K132" s="43"/>
      <c r="L132" s="43"/>
      <c r="M132" s="42"/>
      <c r="N132" s="42"/>
      <c r="O132" s="44"/>
    </row>
    <row r="133" customFormat="false" ht="15" hidden="false" customHeight="false" outlineLevel="0" collapsed="false">
      <c r="A133" s="1"/>
      <c r="B133" s="86"/>
      <c r="C133" s="7"/>
      <c r="D133" s="7"/>
      <c r="E133" s="39"/>
      <c r="F133" s="40"/>
      <c r="G133" s="7"/>
      <c r="H133" s="41"/>
      <c r="I133" s="7"/>
      <c r="J133" s="42"/>
      <c r="K133" s="43"/>
      <c r="L133" s="43"/>
      <c r="M133" s="42"/>
      <c r="N133" s="42"/>
      <c r="O133" s="44"/>
    </row>
    <row r="134" customFormat="false" ht="15" hidden="false" customHeight="false" outlineLevel="0" collapsed="false">
      <c r="A134" s="1"/>
      <c r="B134" s="86"/>
      <c r="C134" s="7"/>
      <c r="D134" s="7"/>
      <c r="E134" s="39"/>
      <c r="F134" s="40"/>
      <c r="G134" s="7"/>
      <c r="H134" s="41"/>
      <c r="I134" s="7"/>
      <c r="J134" s="42"/>
      <c r="K134" s="43"/>
      <c r="L134" s="43"/>
      <c r="M134" s="42"/>
      <c r="N134" s="42"/>
      <c r="O134" s="44"/>
    </row>
    <row r="135" customFormat="false" ht="15" hidden="false" customHeight="false" outlineLevel="0" collapsed="false">
      <c r="A135" s="1"/>
      <c r="B135" s="25"/>
      <c r="C135" s="26"/>
      <c r="D135" s="26"/>
      <c r="E135" s="27"/>
      <c r="F135" s="28"/>
      <c r="G135" s="28"/>
      <c r="H135" s="29"/>
      <c r="I135" s="26"/>
      <c r="J135" s="30"/>
      <c r="K135" s="27"/>
      <c r="L135" s="27"/>
      <c r="M135" s="27"/>
      <c r="N135" s="31"/>
      <c r="O135" s="32"/>
    </row>
    <row r="136" customFormat="false" ht="15" hidden="false" customHeight="false" outlineLevel="0" collapsed="false">
      <c r="A136" s="1"/>
      <c r="B136" s="33"/>
      <c r="C136" s="34"/>
      <c r="D136" s="34"/>
      <c r="E136" s="35" t="n">
        <f aca="false">SUM(E120:E135)</f>
        <v>21.086</v>
      </c>
      <c r="F136" s="34"/>
      <c r="G136" s="34" t="n">
        <f aca="false">SUM(G120:G135)</f>
        <v>116</v>
      </c>
      <c r="H136" s="35" t="n">
        <f aca="false">SUM(H120:H135)</f>
        <v>9.07</v>
      </c>
      <c r="I136" s="34"/>
      <c r="J136" s="36" t="n">
        <f aca="false">SUM(J120:J135)</f>
        <v>22466</v>
      </c>
      <c r="K136" s="35" t="n">
        <f aca="false">SUM(K120:K135)</f>
        <v>19.272</v>
      </c>
      <c r="L136" s="76" t="n">
        <f aca="false">SUM(L120:L135)</f>
        <v>16.62728</v>
      </c>
      <c r="M136" s="37" t="n">
        <f aca="false">SUM(M120:M135)</f>
        <v>239964.90496</v>
      </c>
      <c r="N136" s="37" t="n">
        <f aca="false">SUM(N120:N135)</f>
        <v>10308.376</v>
      </c>
      <c r="O136" s="38" t="n">
        <f aca="false">SUM(O120:O135)</f>
        <v>272739.28096</v>
      </c>
    </row>
    <row r="138" customFormat="false" ht="14.25" hidden="false" customHeight="true" outlineLevel="0" collapsed="false">
      <c r="A138" s="1" t="n">
        <v>10</v>
      </c>
      <c r="B138" s="2" t="s">
        <v>0</v>
      </c>
      <c r="C138" s="3" t="s">
        <v>1</v>
      </c>
      <c r="D138" s="3" t="s">
        <v>2</v>
      </c>
      <c r="E138" s="4" t="s">
        <v>3</v>
      </c>
      <c r="F138" s="9" t="s">
        <v>4</v>
      </c>
      <c r="G138" s="9"/>
      <c r="H138" s="9"/>
      <c r="I138" s="9"/>
      <c r="J138" s="9"/>
      <c r="K138" s="3" t="s">
        <v>5</v>
      </c>
      <c r="L138" s="3" t="s">
        <v>6</v>
      </c>
      <c r="M138" s="4" t="s">
        <v>7</v>
      </c>
      <c r="N138" s="4" t="s">
        <v>8</v>
      </c>
      <c r="O138" s="6" t="s">
        <v>9</v>
      </c>
    </row>
    <row r="139" customFormat="false" ht="14.25" hidden="false" customHeight="false" outlineLevel="0" collapsed="false">
      <c r="A139" s="1"/>
      <c r="B139" s="2"/>
      <c r="C139" s="3"/>
      <c r="D139" s="3"/>
      <c r="E139" s="4"/>
      <c r="F139" s="7" t="s">
        <v>10</v>
      </c>
      <c r="G139" s="7" t="s">
        <v>11</v>
      </c>
      <c r="H139" s="7" t="s">
        <v>12</v>
      </c>
      <c r="I139" s="7" t="s">
        <v>13</v>
      </c>
      <c r="J139" s="7" t="s">
        <v>14</v>
      </c>
      <c r="K139" s="3"/>
      <c r="L139" s="3"/>
      <c r="M139" s="4"/>
      <c r="N139" s="4"/>
      <c r="O139" s="6"/>
    </row>
    <row r="140" customFormat="false" ht="15" hidden="false" customHeight="false" outlineLevel="0" collapsed="false">
      <c r="A140" s="1"/>
      <c r="B140" s="8" t="n">
        <v>1</v>
      </c>
      <c r="C140" s="9" t="s">
        <v>101</v>
      </c>
      <c r="D140" s="9"/>
      <c r="E140" s="10" t="n">
        <v>0.64</v>
      </c>
      <c r="F140" s="11"/>
      <c r="G140" s="9"/>
      <c r="H140" s="12"/>
      <c r="I140" s="9"/>
      <c r="J140" s="13"/>
      <c r="K140" s="14" t="n">
        <f aca="false">E140-(H140+H141)/5</f>
        <v>0.64</v>
      </c>
      <c r="L140" s="14" t="n">
        <f aca="false">K140*83%</f>
        <v>0.5312</v>
      </c>
      <c r="M140" s="13" t="n">
        <f aca="false">L140*14432</f>
        <v>7666.2784</v>
      </c>
      <c r="N140" s="13" t="n">
        <v>200</v>
      </c>
      <c r="O140" s="15" t="n">
        <f aca="false">N140+J140+M140</f>
        <v>7866.2784</v>
      </c>
    </row>
    <row r="141" customFormat="false" ht="15" hidden="false" customHeight="false" outlineLevel="0" collapsed="false">
      <c r="A141" s="1"/>
      <c r="B141" s="16" t="s">
        <v>17</v>
      </c>
      <c r="C141" s="17" t="s">
        <v>102</v>
      </c>
      <c r="D141" s="17"/>
      <c r="E141" s="18"/>
      <c r="F141" s="19"/>
      <c r="G141" s="17"/>
      <c r="H141" s="20"/>
      <c r="I141" s="17"/>
      <c r="J141" s="21"/>
      <c r="K141" s="22"/>
      <c r="L141" s="22"/>
      <c r="M141" s="21"/>
      <c r="N141" s="21"/>
      <c r="O141" s="23"/>
    </row>
    <row r="142" customFormat="false" ht="15" hidden="false" customHeight="false" outlineLevel="0" collapsed="false">
      <c r="A142" s="1"/>
      <c r="B142" s="16"/>
      <c r="C142" s="17"/>
      <c r="D142" s="17"/>
      <c r="E142" s="18"/>
      <c r="F142" s="19"/>
      <c r="G142" s="17"/>
      <c r="H142" s="20"/>
      <c r="I142" s="17"/>
      <c r="J142" s="21"/>
      <c r="K142" s="22"/>
      <c r="L142" s="22"/>
      <c r="M142" s="21"/>
      <c r="N142" s="21"/>
      <c r="O142" s="23"/>
    </row>
    <row r="143" customFormat="false" ht="15" hidden="false" customHeight="false" outlineLevel="0" collapsed="false">
      <c r="A143" s="1"/>
      <c r="B143" s="16"/>
      <c r="C143" s="17"/>
      <c r="D143" s="17"/>
      <c r="E143" s="18"/>
      <c r="F143" s="19"/>
      <c r="G143" s="17"/>
      <c r="H143" s="20"/>
      <c r="I143" s="17"/>
      <c r="J143" s="21"/>
      <c r="K143" s="22"/>
      <c r="L143" s="22"/>
      <c r="M143" s="42"/>
      <c r="N143" s="42"/>
      <c r="O143" s="23"/>
    </row>
    <row r="144" customFormat="false" ht="15" hidden="false" customHeight="false" outlineLevel="0" collapsed="false">
      <c r="A144" s="1"/>
      <c r="B144" s="86"/>
      <c r="C144" s="7"/>
      <c r="D144" s="7"/>
      <c r="E144" s="39"/>
      <c r="F144" s="40"/>
      <c r="G144" s="7"/>
      <c r="H144" s="41"/>
      <c r="I144" s="7"/>
      <c r="J144" s="42"/>
      <c r="K144" s="43"/>
      <c r="L144" s="43"/>
      <c r="M144" s="42"/>
      <c r="N144" s="42"/>
      <c r="O144" s="44"/>
    </row>
    <row r="145" customFormat="false" ht="15" hidden="false" customHeight="false" outlineLevel="0" collapsed="false">
      <c r="A145" s="1"/>
      <c r="B145" s="86"/>
      <c r="C145" s="7"/>
      <c r="D145" s="7"/>
      <c r="E145" s="39"/>
      <c r="F145" s="40"/>
      <c r="G145" s="7"/>
      <c r="H145" s="41"/>
      <c r="I145" s="7"/>
      <c r="J145" s="42"/>
      <c r="K145" s="43"/>
      <c r="L145" s="43"/>
      <c r="M145" s="42"/>
      <c r="N145" s="42"/>
      <c r="O145" s="44"/>
    </row>
    <row r="146" customFormat="false" ht="15" hidden="false" customHeight="false" outlineLevel="0" collapsed="false">
      <c r="A146" s="1"/>
      <c r="B146" s="25"/>
      <c r="C146" s="26"/>
      <c r="D146" s="26"/>
      <c r="E146" s="27"/>
      <c r="F146" s="28"/>
      <c r="G146" s="28"/>
      <c r="H146" s="29"/>
      <c r="I146" s="26"/>
      <c r="J146" s="30"/>
      <c r="K146" s="27"/>
      <c r="L146" s="27"/>
      <c r="M146" s="27"/>
      <c r="N146" s="31"/>
      <c r="O146" s="32"/>
    </row>
    <row r="147" customFormat="false" ht="15" hidden="false" customHeight="false" outlineLevel="0" collapsed="false">
      <c r="A147" s="1"/>
      <c r="B147" s="33"/>
      <c r="C147" s="34"/>
      <c r="D147" s="34"/>
      <c r="E147" s="35" t="n">
        <f aca="false">SUM(E140:E146)</f>
        <v>0.64</v>
      </c>
      <c r="F147" s="34"/>
      <c r="G147" s="34" t="n">
        <f aca="false">SUM(G140:G146)</f>
        <v>0</v>
      </c>
      <c r="H147" s="35" t="n">
        <f aca="false">SUM(H140:H146)</f>
        <v>0</v>
      </c>
      <c r="I147" s="34"/>
      <c r="J147" s="36" t="n">
        <f aca="false">SUM(J140:J146)</f>
        <v>0</v>
      </c>
      <c r="K147" s="35" t="n">
        <f aca="false">SUM(K140:K146)</f>
        <v>0.64</v>
      </c>
      <c r="L147" s="76" t="n">
        <f aca="false">SUM(L140:L146)</f>
        <v>0.5312</v>
      </c>
      <c r="M147" s="37" t="n">
        <f aca="false">SUM(M140:M146)</f>
        <v>7666.2784</v>
      </c>
      <c r="N147" s="37" t="n">
        <f aca="false">SUM(N140:N146)</f>
        <v>200</v>
      </c>
      <c r="O147" s="38" t="n">
        <f aca="false">SUM(O140:O146)</f>
        <v>7866.2784</v>
      </c>
    </row>
  </sheetData>
  <mergeCells count="108">
    <mergeCell ref="A2:A20"/>
    <mergeCell ref="B2:B3"/>
    <mergeCell ref="C2:C3"/>
    <mergeCell ref="D2:D3"/>
    <mergeCell ref="E2:E3"/>
    <mergeCell ref="K2:K3"/>
    <mergeCell ref="L2:L3"/>
    <mergeCell ref="M2:M3"/>
    <mergeCell ref="N2:N3"/>
    <mergeCell ref="O2:O3"/>
    <mergeCell ref="A22:A28"/>
    <mergeCell ref="B22:B23"/>
    <mergeCell ref="C22:C23"/>
    <mergeCell ref="D22:D23"/>
    <mergeCell ref="E22:E23"/>
    <mergeCell ref="F22:J22"/>
    <mergeCell ref="K22:K23"/>
    <mergeCell ref="L22:L23"/>
    <mergeCell ref="M22:M23"/>
    <mergeCell ref="N22:N23"/>
    <mergeCell ref="O22:O23"/>
    <mergeCell ref="A30:A49"/>
    <mergeCell ref="B30:B31"/>
    <mergeCell ref="C30:C31"/>
    <mergeCell ref="D30:D31"/>
    <mergeCell ref="E30:E31"/>
    <mergeCell ref="K30:K31"/>
    <mergeCell ref="L30:L31"/>
    <mergeCell ref="M30:M31"/>
    <mergeCell ref="N30:N31"/>
    <mergeCell ref="O30:O31"/>
    <mergeCell ref="A51:A62"/>
    <mergeCell ref="B51:B52"/>
    <mergeCell ref="C51:C52"/>
    <mergeCell ref="D51:D52"/>
    <mergeCell ref="E51:E52"/>
    <mergeCell ref="F51:J51"/>
    <mergeCell ref="K51:K52"/>
    <mergeCell ref="L51:L52"/>
    <mergeCell ref="M51:M52"/>
    <mergeCell ref="N51:N52"/>
    <mergeCell ref="O51:O52"/>
    <mergeCell ref="A64:A83"/>
    <mergeCell ref="B64:B65"/>
    <mergeCell ref="C64:C65"/>
    <mergeCell ref="D64:D65"/>
    <mergeCell ref="E64:E65"/>
    <mergeCell ref="F64:J64"/>
    <mergeCell ref="K64:K65"/>
    <mergeCell ref="L64:L65"/>
    <mergeCell ref="M64:M65"/>
    <mergeCell ref="N64:N65"/>
    <mergeCell ref="O64:O65"/>
    <mergeCell ref="A85:A92"/>
    <mergeCell ref="B85:B86"/>
    <mergeCell ref="C85:C86"/>
    <mergeCell ref="D85:D86"/>
    <mergeCell ref="E85:E86"/>
    <mergeCell ref="F85:J85"/>
    <mergeCell ref="K85:K86"/>
    <mergeCell ref="L85:L86"/>
    <mergeCell ref="M85:M86"/>
    <mergeCell ref="N85:N86"/>
    <mergeCell ref="O85:O86"/>
    <mergeCell ref="A94:A105"/>
    <mergeCell ref="B94:B95"/>
    <mergeCell ref="C94:C95"/>
    <mergeCell ref="D94:D95"/>
    <mergeCell ref="E94:E95"/>
    <mergeCell ref="F94:J94"/>
    <mergeCell ref="K94:K95"/>
    <mergeCell ref="L94:L95"/>
    <mergeCell ref="M94:M95"/>
    <mergeCell ref="N94:N95"/>
    <mergeCell ref="O94:O95"/>
    <mergeCell ref="A107:A116"/>
    <mergeCell ref="B107:B108"/>
    <mergeCell ref="C107:C108"/>
    <mergeCell ref="D107:D108"/>
    <mergeCell ref="E107:E108"/>
    <mergeCell ref="F107:J107"/>
    <mergeCell ref="K107:K108"/>
    <mergeCell ref="L107:L108"/>
    <mergeCell ref="M107:M108"/>
    <mergeCell ref="N107:N108"/>
    <mergeCell ref="O107:O108"/>
    <mergeCell ref="A118:A136"/>
    <mergeCell ref="B118:B119"/>
    <mergeCell ref="C118:C119"/>
    <mergeCell ref="D118:D119"/>
    <mergeCell ref="E118:E119"/>
    <mergeCell ref="F118:J118"/>
    <mergeCell ref="K118:K119"/>
    <mergeCell ref="L118:L119"/>
    <mergeCell ref="M118:M119"/>
    <mergeCell ref="N118:N119"/>
    <mergeCell ref="O118:O119"/>
    <mergeCell ref="A138:A147"/>
    <mergeCell ref="B138:B139"/>
    <mergeCell ref="C138:C139"/>
    <mergeCell ref="D138:D139"/>
    <mergeCell ref="E138:E139"/>
    <mergeCell ref="F138:J138"/>
    <mergeCell ref="K138:K139"/>
    <mergeCell ref="L138:L139"/>
    <mergeCell ref="M138:M139"/>
    <mergeCell ref="N138:N139"/>
    <mergeCell ref="O138:O1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Q4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40" activeCellId="0" sqref="E40"/>
    </sheetView>
  </sheetViews>
  <sheetFormatPr defaultColWidth="8.5" defaultRowHeight="14.25" customHeight="false" zeroHeight="false" outlineLevelRow="0" outlineLevelCol="0"/>
  <cols>
    <col collapsed="false" customWidth="true" hidden="false" outlineLevel="0" max="3" min="3" style="0" width="9.91"/>
    <col collapsed="false" customWidth="true" hidden="false" outlineLevel="0" max="4" min="4" style="0" width="16.82"/>
  </cols>
  <sheetData>
    <row r="2" customFormat="false" ht="14.25" hidden="false" customHeight="true" outlineLevel="0" collapsed="false">
      <c r="A2" s="1" t="n">
        <v>1</v>
      </c>
      <c r="B2" s="2" t="s">
        <v>0</v>
      </c>
      <c r="C2" s="3" t="s">
        <v>1</v>
      </c>
      <c r="D2" s="3" t="s">
        <v>2</v>
      </c>
      <c r="E2" s="4" t="s">
        <v>3</v>
      </c>
      <c r="F2" s="9" t="s">
        <v>4</v>
      </c>
      <c r="G2" s="9"/>
      <c r="H2" s="9"/>
      <c r="I2" s="9"/>
      <c r="J2" s="9"/>
      <c r="K2" s="3" t="s">
        <v>5</v>
      </c>
      <c r="L2" s="3" t="s">
        <v>6</v>
      </c>
      <c r="M2" s="4" t="s">
        <v>7</v>
      </c>
      <c r="N2" s="4" t="s">
        <v>8</v>
      </c>
      <c r="O2" s="6" t="s">
        <v>9</v>
      </c>
    </row>
    <row r="3" customFormat="false" ht="14.25" hidden="false" customHeight="false" outlineLevel="0" collapsed="false">
      <c r="A3" s="1"/>
      <c r="B3" s="2"/>
      <c r="C3" s="3"/>
      <c r="D3" s="3"/>
      <c r="E3" s="4"/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3"/>
      <c r="L3" s="3"/>
      <c r="M3" s="4"/>
      <c r="N3" s="4"/>
      <c r="O3" s="6"/>
    </row>
    <row r="4" customFormat="false" ht="15" hidden="false" customHeight="false" outlineLevel="0" collapsed="false">
      <c r="A4" s="1"/>
      <c r="B4" s="8" t="n">
        <v>1</v>
      </c>
      <c r="C4" s="9" t="s">
        <v>103</v>
      </c>
      <c r="D4" s="9" t="s">
        <v>104</v>
      </c>
      <c r="E4" s="10" t="n">
        <f aca="false">2.16-1.49</f>
        <v>0.67</v>
      </c>
      <c r="F4" s="11"/>
      <c r="G4" s="9"/>
      <c r="H4" s="51"/>
      <c r="I4" s="9"/>
      <c r="J4" s="13"/>
      <c r="K4" s="14" t="n">
        <f aca="false">E4-(H4+H5+H6)/5</f>
        <v>0.67</v>
      </c>
      <c r="L4" s="14" t="n">
        <f aca="false">K4*92%</f>
        <v>0.6164</v>
      </c>
      <c r="M4" s="13" t="n">
        <f aca="false">L4*14933</f>
        <v>9204.7012</v>
      </c>
      <c r="N4" s="13" t="n">
        <v>2000</v>
      </c>
      <c r="O4" s="15" t="n">
        <f aca="false">N4+M4+J4+J5+J6</f>
        <v>11204.7012</v>
      </c>
    </row>
    <row r="5" customFormat="false" ht="15" hidden="false" customHeight="false" outlineLevel="0" collapsed="false">
      <c r="A5" s="1"/>
      <c r="B5" s="16" t="s">
        <v>42</v>
      </c>
      <c r="C5" s="17"/>
      <c r="D5" s="17"/>
      <c r="E5" s="18"/>
      <c r="F5" s="19"/>
      <c r="G5" s="17"/>
      <c r="H5" s="81"/>
      <c r="I5" s="17"/>
      <c r="J5" s="21"/>
      <c r="K5" s="22"/>
      <c r="L5" s="22"/>
      <c r="M5" s="21"/>
      <c r="N5" s="21"/>
      <c r="O5" s="23"/>
    </row>
    <row r="6" customFormat="false" ht="15" hidden="false" customHeight="false" outlineLevel="0" collapsed="false">
      <c r="A6" s="1"/>
      <c r="B6" s="16"/>
      <c r="C6" s="17"/>
      <c r="D6" s="17"/>
      <c r="E6" s="18"/>
      <c r="F6" s="19"/>
      <c r="G6" s="17"/>
      <c r="H6" s="81"/>
      <c r="I6" s="17"/>
      <c r="J6" s="21"/>
      <c r="K6" s="22"/>
      <c r="L6" s="22"/>
      <c r="M6" s="21"/>
      <c r="N6" s="21"/>
      <c r="O6" s="23"/>
    </row>
    <row r="7" customFormat="false" ht="15" hidden="false" customHeight="false" outlineLevel="0" collapsed="false">
      <c r="A7" s="1"/>
      <c r="B7" s="16"/>
      <c r="C7" s="17"/>
      <c r="D7" s="17"/>
      <c r="E7" s="18"/>
      <c r="F7" s="19"/>
      <c r="G7" s="17"/>
      <c r="H7" s="81"/>
      <c r="I7" s="17"/>
      <c r="J7" s="21"/>
      <c r="K7" s="22"/>
      <c r="L7" s="22"/>
      <c r="M7" s="21"/>
      <c r="N7" s="21"/>
      <c r="O7" s="23"/>
    </row>
    <row r="8" customFormat="false" ht="15" hidden="false" customHeight="false" outlineLevel="0" collapsed="false">
      <c r="A8" s="1"/>
      <c r="B8" s="16" t="n">
        <v>2</v>
      </c>
      <c r="C8" s="17" t="s">
        <v>105</v>
      </c>
      <c r="D8" s="17" t="s">
        <v>105</v>
      </c>
      <c r="E8" s="24" t="n">
        <v>18.38</v>
      </c>
      <c r="F8" s="19" t="s">
        <v>21</v>
      </c>
      <c r="G8" s="17" t="n">
        <v>1</v>
      </c>
      <c r="H8" s="81" t="n">
        <v>1.95</v>
      </c>
      <c r="I8" s="17" t="n">
        <v>2060</v>
      </c>
      <c r="J8" s="21" t="n">
        <f aca="false">I8*H8</f>
        <v>4017</v>
      </c>
      <c r="K8" s="22" t="n">
        <f aca="false">E8-(H8+H9+H10)/5</f>
        <v>17.99</v>
      </c>
      <c r="L8" s="22" t="n">
        <f aca="false">K8*85%</f>
        <v>15.2915</v>
      </c>
      <c r="M8" s="21" t="n">
        <f aca="false">L8*15508</f>
        <v>237140.582</v>
      </c>
      <c r="N8" s="21"/>
      <c r="O8" s="23" t="n">
        <f aca="false">N8+M8+J8</f>
        <v>241157.582</v>
      </c>
    </row>
    <row r="9" customFormat="false" ht="15" hidden="false" customHeight="false" outlineLevel="0" collapsed="false">
      <c r="A9" s="1"/>
      <c r="B9" s="16" t="s">
        <v>17</v>
      </c>
      <c r="C9" s="17"/>
      <c r="D9" s="17"/>
      <c r="E9" s="18"/>
      <c r="F9" s="19"/>
      <c r="G9" s="17"/>
      <c r="H9" s="81"/>
      <c r="I9" s="17"/>
      <c r="J9" s="21"/>
      <c r="K9" s="22"/>
      <c r="L9" s="22"/>
      <c r="M9" s="21"/>
      <c r="N9" s="21"/>
      <c r="O9" s="23"/>
    </row>
    <row r="10" customFormat="false" ht="15" hidden="false" customHeight="false" outlineLevel="0" collapsed="false">
      <c r="A10" s="1"/>
      <c r="B10" s="16"/>
      <c r="C10" s="17"/>
      <c r="D10" s="17"/>
      <c r="E10" s="18"/>
      <c r="F10" s="19"/>
      <c r="G10" s="17"/>
      <c r="H10" s="81"/>
      <c r="I10" s="17"/>
      <c r="J10" s="21"/>
      <c r="K10" s="22"/>
      <c r="L10" s="22"/>
      <c r="M10" s="21"/>
      <c r="N10" s="21"/>
      <c r="O10" s="23"/>
    </row>
    <row r="11" customFormat="false" ht="15" hidden="false" customHeight="false" outlineLevel="0" collapsed="false">
      <c r="A11" s="1"/>
      <c r="B11" s="16" t="n">
        <v>3</v>
      </c>
      <c r="C11" s="17" t="s">
        <v>106</v>
      </c>
      <c r="D11" s="17" t="s">
        <v>106</v>
      </c>
      <c r="E11" s="24" t="n">
        <v>2.27</v>
      </c>
      <c r="F11" s="19" t="s">
        <v>21</v>
      </c>
      <c r="G11" s="17" t="n">
        <v>1</v>
      </c>
      <c r="H11" s="81" t="n">
        <v>0.85</v>
      </c>
      <c r="I11" s="17" t="n">
        <v>2060</v>
      </c>
      <c r="J11" s="21" t="n">
        <f aca="false">I11*H11</f>
        <v>1751</v>
      </c>
      <c r="K11" s="22" t="n">
        <f aca="false">E11-(H11+H12+H13)/5</f>
        <v>2.1</v>
      </c>
      <c r="L11" s="22" t="n">
        <f aca="false">K11*85%</f>
        <v>1.785</v>
      </c>
      <c r="M11" s="21" t="n">
        <f aca="false">L11*15508</f>
        <v>27681.78</v>
      </c>
      <c r="N11" s="21"/>
      <c r="O11" s="23" t="n">
        <f aca="false">N11+M11+J11</f>
        <v>29432.78</v>
      </c>
    </row>
    <row r="12" customFormat="false" ht="15" hidden="false" customHeight="false" outlineLevel="0" collapsed="false">
      <c r="A12" s="1"/>
      <c r="B12" s="16" t="s">
        <v>17</v>
      </c>
      <c r="C12" s="17"/>
      <c r="D12" s="17"/>
      <c r="E12" s="18"/>
      <c r="F12" s="19"/>
      <c r="G12" s="17"/>
      <c r="H12" s="81"/>
      <c r="I12" s="17"/>
      <c r="J12" s="21"/>
      <c r="K12" s="22"/>
      <c r="L12" s="22"/>
      <c r="M12" s="21"/>
      <c r="N12" s="21"/>
      <c r="O12" s="23"/>
    </row>
    <row r="13" customFormat="false" ht="15" hidden="false" customHeight="false" outlineLevel="0" collapsed="false">
      <c r="A13" s="1"/>
      <c r="B13" s="16"/>
      <c r="C13" s="17"/>
      <c r="D13" s="17"/>
      <c r="E13" s="18"/>
      <c r="F13" s="19"/>
      <c r="G13" s="17"/>
      <c r="H13" s="81"/>
      <c r="I13" s="17"/>
      <c r="J13" s="21"/>
      <c r="K13" s="22"/>
      <c r="L13" s="22"/>
      <c r="M13" s="21"/>
      <c r="N13" s="21"/>
      <c r="O13" s="23"/>
    </row>
    <row r="14" customFormat="false" ht="15" hidden="false" customHeight="false" outlineLevel="0" collapsed="false">
      <c r="A14" s="1"/>
      <c r="B14" s="16" t="n">
        <v>4</v>
      </c>
      <c r="C14" s="17" t="s">
        <v>107</v>
      </c>
      <c r="D14" s="17" t="s">
        <v>108</v>
      </c>
      <c r="E14" s="24" t="n">
        <v>6.42</v>
      </c>
      <c r="F14" s="19" t="s">
        <v>21</v>
      </c>
      <c r="G14" s="17" t="n">
        <v>1</v>
      </c>
      <c r="H14" s="81" t="n">
        <v>1.05</v>
      </c>
      <c r="I14" s="17" t="n">
        <v>2060</v>
      </c>
      <c r="J14" s="21" t="n">
        <f aca="false">I14*H14</f>
        <v>2163</v>
      </c>
      <c r="K14" s="22" t="n">
        <f aca="false">E14-(H14+H15+H16)/5</f>
        <v>6.21</v>
      </c>
      <c r="L14" s="22" t="n">
        <f aca="false">K14*85%</f>
        <v>5.2785</v>
      </c>
      <c r="M14" s="21" t="n">
        <f aca="false">L14*15508</f>
        <v>81858.978</v>
      </c>
      <c r="N14" s="21"/>
      <c r="O14" s="23" t="n">
        <f aca="false">N14+M14+J14</f>
        <v>84021.978</v>
      </c>
    </row>
    <row r="15" customFormat="false" ht="15" hidden="false" customHeight="false" outlineLevel="0" collapsed="false">
      <c r="A15" s="1"/>
      <c r="B15" s="16" t="s">
        <v>17</v>
      </c>
      <c r="C15" s="17"/>
      <c r="D15" s="83"/>
      <c r="E15" s="18"/>
      <c r="F15" s="19"/>
      <c r="G15" s="17"/>
      <c r="H15" s="20"/>
      <c r="I15" s="17"/>
      <c r="J15" s="21"/>
      <c r="K15" s="22"/>
      <c r="L15" s="22"/>
      <c r="M15" s="21"/>
      <c r="N15" s="21"/>
      <c r="O15" s="23"/>
    </row>
    <row r="16" customFormat="false" ht="15" hidden="false" customHeight="false" outlineLevel="0" collapsed="false">
      <c r="A16" s="1"/>
      <c r="B16" s="25"/>
      <c r="C16" s="26"/>
      <c r="D16" s="26"/>
      <c r="E16" s="27"/>
      <c r="F16" s="28"/>
      <c r="G16" s="28"/>
      <c r="H16" s="29"/>
      <c r="I16" s="26"/>
      <c r="J16" s="30"/>
      <c r="K16" s="27"/>
      <c r="L16" s="27"/>
      <c r="M16" s="27"/>
      <c r="N16" s="31"/>
      <c r="O16" s="32"/>
    </row>
    <row r="17" customFormat="false" ht="15" hidden="false" customHeight="false" outlineLevel="0" collapsed="false">
      <c r="A17" s="1"/>
      <c r="B17" s="33"/>
      <c r="C17" s="34"/>
      <c r="D17" s="34"/>
      <c r="E17" s="35" t="n">
        <f aca="false">SUM(E4:E16)</f>
        <v>27.74</v>
      </c>
      <c r="F17" s="34"/>
      <c r="G17" s="34" t="n">
        <f aca="false">SUM(G4:G16)</f>
        <v>3</v>
      </c>
      <c r="H17" s="35" t="n">
        <f aca="false">SUM(H4:H16)</f>
        <v>3.85</v>
      </c>
      <c r="I17" s="34"/>
      <c r="J17" s="36" t="n">
        <f aca="false">SUM(J4:J16)</f>
        <v>7931</v>
      </c>
      <c r="K17" s="35" t="n">
        <f aca="false">SUM(K4:K16)</f>
        <v>26.97</v>
      </c>
      <c r="L17" s="35" t="n">
        <f aca="false">SUM(L4:L16)</f>
        <v>22.9714</v>
      </c>
      <c r="M17" s="36" t="n">
        <f aca="false">SUM(M4:M16)</f>
        <v>355886.0412</v>
      </c>
      <c r="N17" s="37" t="n">
        <f aca="false">SUM(N4:N16)</f>
        <v>2000</v>
      </c>
      <c r="O17" s="38" t="n">
        <f aca="false">SUM(O4:O16)</f>
        <v>365817.0412</v>
      </c>
      <c r="P17" s="0" t="s">
        <v>23</v>
      </c>
      <c r="Q17" s="0" t="s">
        <v>109</v>
      </c>
    </row>
    <row r="19" customFormat="false" ht="14.25" hidden="false" customHeight="true" outlineLevel="0" collapsed="false">
      <c r="A19" s="1" t="n">
        <v>2</v>
      </c>
      <c r="B19" s="2" t="s">
        <v>0</v>
      </c>
      <c r="C19" s="3" t="s">
        <v>1</v>
      </c>
      <c r="D19" s="3" t="s">
        <v>2</v>
      </c>
      <c r="E19" s="4" t="s">
        <v>3</v>
      </c>
      <c r="F19" s="9" t="s">
        <v>4</v>
      </c>
      <c r="G19" s="9"/>
      <c r="H19" s="9"/>
      <c r="I19" s="9"/>
      <c r="J19" s="9"/>
      <c r="K19" s="3" t="s">
        <v>5</v>
      </c>
      <c r="L19" s="3" t="s">
        <v>6</v>
      </c>
      <c r="M19" s="4" t="s">
        <v>7</v>
      </c>
      <c r="N19" s="4" t="s">
        <v>8</v>
      </c>
      <c r="O19" s="6" t="s">
        <v>9</v>
      </c>
    </row>
    <row r="20" customFormat="false" ht="14.25" hidden="false" customHeight="false" outlineLevel="0" collapsed="false">
      <c r="A20" s="1"/>
      <c r="B20" s="2"/>
      <c r="C20" s="3"/>
      <c r="D20" s="3"/>
      <c r="E20" s="4"/>
      <c r="F20" s="7" t="s">
        <v>10</v>
      </c>
      <c r="G20" s="7" t="s">
        <v>11</v>
      </c>
      <c r="H20" s="7" t="s">
        <v>12</v>
      </c>
      <c r="I20" s="7" t="s">
        <v>13</v>
      </c>
      <c r="J20" s="7" t="s">
        <v>14</v>
      </c>
      <c r="K20" s="3"/>
      <c r="L20" s="3"/>
      <c r="M20" s="4"/>
      <c r="N20" s="4"/>
      <c r="O20" s="6"/>
    </row>
    <row r="21" customFormat="false" ht="15" hidden="false" customHeight="false" outlineLevel="0" collapsed="false">
      <c r="A21" s="1"/>
      <c r="B21" s="8" t="n">
        <v>1</v>
      </c>
      <c r="C21" s="9" t="s">
        <v>90</v>
      </c>
      <c r="D21" s="9"/>
      <c r="E21" s="10" t="n">
        <v>19.98</v>
      </c>
      <c r="F21" s="11" t="s">
        <v>16</v>
      </c>
      <c r="G21" s="9" t="n">
        <v>138</v>
      </c>
      <c r="H21" s="51" t="n">
        <v>0.95</v>
      </c>
      <c r="I21" s="9" t="n">
        <v>40000</v>
      </c>
      <c r="J21" s="13" t="n">
        <f aca="false">I21*H21</f>
        <v>38000</v>
      </c>
      <c r="K21" s="14" t="n">
        <f aca="false">E21-(H21+H22+H23+H24)/5</f>
        <v>18.758</v>
      </c>
      <c r="L21" s="14" t="n">
        <f aca="false">K21*76%</f>
        <v>14.25608</v>
      </c>
      <c r="M21" s="13" t="n">
        <f aca="false">L21*14335</f>
        <v>204360.9068</v>
      </c>
      <c r="N21" s="13" t="n">
        <f aca="false">1.5*14200+457</f>
        <v>21757</v>
      </c>
      <c r="O21" s="15" t="n">
        <f aca="false">N21+M21+J21+J22+J23+J24</f>
        <v>303147.9068</v>
      </c>
    </row>
    <row r="22" customFormat="false" ht="15" hidden="false" customHeight="false" outlineLevel="0" collapsed="false">
      <c r="A22" s="1"/>
      <c r="B22" s="16" t="s">
        <v>17</v>
      </c>
      <c r="C22" s="17"/>
      <c r="D22" s="17"/>
      <c r="E22" s="18"/>
      <c r="F22" s="19" t="s">
        <v>16</v>
      </c>
      <c r="G22" s="17" t="n">
        <v>83</v>
      </c>
      <c r="H22" s="81" t="n">
        <v>0.96</v>
      </c>
      <c r="I22" s="17" t="n">
        <v>40000</v>
      </c>
      <c r="J22" s="21" t="n">
        <f aca="false">I22*H22</f>
        <v>38400</v>
      </c>
      <c r="K22" s="22"/>
      <c r="L22" s="22"/>
      <c r="M22" s="21"/>
      <c r="N22" s="21"/>
      <c r="O22" s="23"/>
    </row>
    <row r="23" customFormat="false" ht="15" hidden="false" customHeight="false" outlineLevel="0" collapsed="false">
      <c r="A23" s="1"/>
      <c r="B23" s="16"/>
      <c r="C23" s="17"/>
      <c r="D23" s="17"/>
      <c r="E23" s="18"/>
      <c r="F23" s="19" t="s">
        <v>19</v>
      </c>
      <c r="G23" s="17" t="n">
        <v>1</v>
      </c>
      <c r="H23" s="81" t="n">
        <v>2.45</v>
      </c>
      <c r="I23" s="17" t="n">
        <v>150</v>
      </c>
      <c r="J23" s="21" t="n">
        <f aca="false">I23*H23</f>
        <v>367.5</v>
      </c>
      <c r="K23" s="22"/>
      <c r="L23" s="22"/>
      <c r="M23" s="21"/>
      <c r="N23" s="21"/>
      <c r="O23" s="23"/>
    </row>
    <row r="24" customFormat="false" ht="15" hidden="false" customHeight="false" outlineLevel="0" collapsed="false">
      <c r="A24" s="1"/>
      <c r="B24" s="16"/>
      <c r="C24" s="17"/>
      <c r="D24" s="17"/>
      <c r="E24" s="18"/>
      <c r="F24" s="19" t="s">
        <v>18</v>
      </c>
      <c r="G24" s="17" t="n">
        <v>1</v>
      </c>
      <c r="H24" s="81" t="n">
        <v>1.75</v>
      </c>
      <c r="I24" s="17" t="n">
        <v>150</v>
      </c>
      <c r="J24" s="21" t="n">
        <f aca="false">I24*H24</f>
        <v>262.5</v>
      </c>
      <c r="K24" s="22"/>
      <c r="L24" s="22"/>
      <c r="M24" s="21"/>
      <c r="N24" s="21"/>
      <c r="O24" s="23"/>
    </row>
    <row r="25" customFormat="false" ht="15" hidden="false" customHeight="false" outlineLevel="0" collapsed="false">
      <c r="A25" s="1"/>
      <c r="B25" s="16"/>
      <c r="C25" s="17"/>
      <c r="D25" s="17"/>
      <c r="E25" s="18"/>
      <c r="F25" s="19"/>
      <c r="G25" s="17"/>
      <c r="H25" s="81"/>
      <c r="I25" s="17"/>
      <c r="J25" s="21"/>
      <c r="K25" s="22"/>
      <c r="L25" s="22"/>
      <c r="M25" s="21"/>
      <c r="N25" s="21"/>
      <c r="O25" s="23"/>
    </row>
    <row r="26" customFormat="false" ht="15" hidden="false" customHeight="false" outlineLevel="0" collapsed="false">
      <c r="A26" s="1"/>
      <c r="B26" s="16" t="n">
        <v>1</v>
      </c>
      <c r="C26" s="17"/>
      <c r="D26" s="17"/>
      <c r="E26" s="24" t="n">
        <v>5.9</v>
      </c>
      <c r="F26" s="19" t="s">
        <v>110</v>
      </c>
      <c r="G26" s="17" t="n">
        <v>14</v>
      </c>
      <c r="H26" s="81" t="n">
        <v>1.15</v>
      </c>
      <c r="I26" s="17" t="n">
        <v>70</v>
      </c>
      <c r="J26" s="21" t="n">
        <f aca="false">I26*H26</f>
        <v>80.5</v>
      </c>
      <c r="K26" s="22" t="n">
        <f aca="false">E26-(H26+H27+H28)/5</f>
        <v>5.43</v>
      </c>
      <c r="L26" s="22" t="n">
        <f aca="false">K26*92%</f>
        <v>4.9956</v>
      </c>
      <c r="M26" s="21" t="n">
        <f aca="false">L26*14335</f>
        <v>71611.926</v>
      </c>
      <c r="N26" s="21" t="n">
        <f aca="false">0.334*14200</f>
        <v>4742.8</v>
      </c>
      <c r="O26" s="23" t="n">
        <f aca="false">N26+M26+J26+J27</f>
        <v>76519.226</v>
      </c>
    </row>
    <row r="27" customFormat="false" ht="15" hidden="false" customHeight="false" outlineLevel="0" collapsed="false">
      <c r="A27" s="1"/>
      <c r="B27" s="16" t="s">
        <v>42</v>
      </c>
      <c r="C27" s="17"/>
      <c r="D27" s="17"/>
      <c r="E27" s="18"/>
      <c r="F27" s="19" t="s">
        <v>19</v>
      </c>
      <c r="G27" s="17" t="n">
        <v>5</v>
      </c>
      <c r="H27" s="81" t="n">
        <v>1.2</v>
      </c>
      <c r="I27" s="17" t="n">
        <v>70</v>
      </c>
      <c r="J27" s="21" t="n">
        <f aca="false">I27*H27</f>
        <v>84</v>
      </c>
      <c r="K27" s="22"/>
      <c r="L27" s="22"/>
      <c r="M27" s="21"/>
      <c r="N27" s="21"/>
      <c r="O27" s="23"/>
    </row>
    <row r="28" customFormat="false" ht="15" hidden="false" customHeight="false" outlineLevel="0" collapsed="false">
      <c r="A28" s="1"/>
      <c r="B28" s="16"/>
      <c r="C28" s="17"/>
      <c r="D28" s="17"/>
      <c r="E28" s="18"/>
      <c r="F28" s="19"/>
      <c r="G28" s="17"/>
      <c r="H28" s="81"/>
      <c r="I28" s="17"/>
      <c r="J28" s="21"/>
      <c r="K28" s="22"/>
      <c r="L28" s="22"/>
      <c r="M28" s="21"/>
      <c r="N28" s="21"/>
      <c r="O28" s="23"/>
    </row>
    <row r="29" customFormat="false" ht="15" hidden="false" customHeight="false" outlineLevel="0" collapsed="false">
      <c r="A29" s="1"/>
      <c r="B29" s="25"/>
      <c r="C29" s="26"/>
      <c r="D29" s="26"/>
      <c r="E29" s="27"/>
      <c r="F29" s="28"/>
      <c r="G29" s="28"/>
      <c r="H29" s="29"/>
      <c r="I29" s="26"/>
      <c r="J29" s="30"/>
      <c r="K29" s="27"/>
      <c r="L29" s="27"/>
      <c r="M29" s="27"/>
      <c r="N29" s="31"/>
      <c r="O29" s="32"/>
    </row>
    <row r="30" customFormat="false" ht="15" hidden="false" customHeight="false" outlineLevel="0" collapsed="false">
      <c r="A30" s="1"/>
      <c r="B30" s="33"/>
      <c r="C30" s="34"/>
      <c r="D30" s="34"/>
      <c r="E30" s="35" t="n">
        <f aca="false">SUM(E21:E29)</f>
        <v>25.88</v>
      </c>
      <c r="F30" s="34"/>
      <c r="G30" s="34" t="n">
        <f aca="false">SUM(G21:G29)</f>
        <v>242</v>
      </c>
      <c r="H30" s="35" t="n">
        <f aca="false">SUM(H21:H29)</f>
        <v>8.46</v>
      </c>
      <c r="I30" s="34"/>
      <c r="J30" s="36" t="n">
        <f aca="false">SUM(J21:J29)</f>
        <v>77194.5</v>
      </c>
      <c r="K30" s="35" t="n">
        <f aca="false">SUM(K21:K29)</f>
        <v>24.188</v>
      </c>
      <c r="L30" s="35" t="n">
        <f aca="false">SUM(L21:L29)</f>
        <v>19.25168</v>
      </c>
      <c r="M30" s="36" t="n">
        <f aca="false">SUM(M21:M29)</f>
        <v>275972.8328</v>
      </c>
      <c r="N30" s="37" t="n">
        <f aca="false">SUM(N21:N29)</f>
        <v>26499.8</v>
      </c>
      <c r="O30" s="38" t="n">
        <f aca="false">SUM(O21:O29)</f>
        <v>379667.1328</v>
      </c>
      <c r="P30" s="0" t="s">
        <v>23</v>
      </c>
    </row>
    <row r="32" customFormat="false" ht="14.25" hidden="false" customHeight="true" outlineLevel="0" collapsed="false">
      <c r="A32" s="1" t="n">
        <v>3</v>
      </c>
      <c r="B32" s="2" t="s">
        <v>0</v>
      </c>
      <c r="C32" s="3" t="s">
        <v>1</v>
      </c>
      <c r="D32" s="3" t="s">
        <v>2</v>
      </c>
      <c r="E32" s="4" t="s">
        <v>3</v>
      </c>
      <c r="F32" s="9" t="s">
        <v>4</v>
      </c>
      <c r="G32" s="9"/>
      <c r="H32" s="9"/>
      <c r="I32" s="9"/>
      <c r="J32" s="9"/>
      <c r="K32" s="3" t="s">
        <v>5</v>
      </c>
      <c r="L32" s="3" t="s">
        <v>6</v>
      </c>
      <c r="M32" s="4" t="s">
        <v>7</v>
      </c>
      <c r="N32" s="4" t="s">
        <v>8</v>
      </c>
      <c r="O32" s="6" t="s">
        <v>9</v>
      </c>
    </row>
    <row r="33" customFormat="false" ht="14.25" hidden="false" customHeight="false" outlineLevel="0" collapsed="false">
      <c r="A33" s="1"/>
      <c r="B33" s="2"/>
      <c r="C33" s="3"/>
      <c r="D33" s="3"/>
      <c r="E33" s="4"/>
      <c r="F33" s="7" t="s">
        <v>10</v>
      </c>
      <c r="G33" s="7" t="s">
        <v>11</v>
      </c>
      <c r="H33" s="7" t="s">
        <v>12</v>
      </c>
      <c r="I33" s="7" t="s">
        <v>13</v>
      </c>
      <c r="J33" s="7" t="s">
        <v>14</v>
      </c>
      <c r="K33" s="3"/>
      <c r="L33" s="3"/>
      <c r="M33" s="4"/>
      <c r="N33" s="4"/>
      <c r="O33" s="6"/>
    </row>
    <row r="34" customFormat="false" ht="15" hidden="false" customHeight="false" outlineLevel="0" collapsed="false">
      <c r="A34" s="1"/>
      <c r="B34" s="8" t="n">
        <v>1</v>
      </c>
      <c r="C34" s="9" t="s">
        <v>94</v>
      </c>
      <c r="D34" s="9"/>
      <c r="E34" s="10" t="n">
        <v>7.23</v>
      </c>
      <c r="F34" s="11" t="s">
        <v>77</v>
      </c>
      <c r="G34" s="9" t="n">
        <v>18</v>
      </c>
      <c r="H34" s="51" t="n">
        <v>0.12</v>
      </c>
      <c r="I34" s="9" t="n">
        <v>15000</v>
      </c>
      <c r="J34" s="13" t="n">
        <f aca="false">I34*H34</f>
        <v>1800</v>
      </c>
      <c r="K34" s="14" t="n">
        <f aca="false">E34-(H34+H35+H36+H37+H38+H39+H40)/5</f>
        <v>6.56</v>
      </c>
      <c r="L34" s="14" t="n">
        <f aca="false">K34*75%</f>
        <v>4.92</v>
      </c>
      <c r="M34" s="13" t="n">
        <f aca="false">L34*14800</f>
        <v>72816</v>
      </c>
      <c r="N34" s="13" t="n">
        <v>7000</v>
      </c>
      <c r="O34" s="15" t="n">
        <f aca="false">N34+M34+J34+J35+J36+J37+J38+J39+J40</f>
        <v>116024.1</v>
      </c>
    </row>
    <row r="35" customFormat="false" ht="15" hidden="false" customHeight="false" outlineLevel="0" collapsed="false">
      <c r="A35" s="1"/>
      <c r="B35" s="16" t="s">
        <v>111</v>
      </c>
      <c r="C35" s="17"/>
      <c r="D35" s="17"/>
      <c r="E35" s="18"/>
      <c r="F35" s="19" t="s">
        <v>77</v>
      </c>
      <c r="G35" s="17" t="n">
        <v>139</v>
      </c>
      <c r="H35" s="81" t="n">
        <v>2.25</v>
      </c>
      <c r="I35" s="17" t="n">
        <v>15000</v>
      </c>
      <c r="J35" s="21" t="n">
        <f aca="false">I35*H35</f>
        <v>33750</v>
      </c>
      <c r="K35" s="22"/>
      <c r="L35" s="22"/>
      <c r="M35" s="21"/>
      <c r="N35" s="21"/>
      <c r="O35" s="23"/>
    </row>
    <row r="36" customFormat="false" ht="15" hidden="false" customHeight="false" outlineLevel="0" collapsed="false">
      <c r="A36" s="1"/>
      <c r="B36" s="16"/>
      <c r="C36" s="17"/>
      <c r="D36" s="17"/>
      <c r="E36" s="18"/>
      <c r="F36" s="19" t="s">
        <v>78</v>
      </c>
      <c r="G36" s="17" t="n">
        <v>1</v>
      </c>
      <c r="H36" s="81" t="n">
        <v>0.05</v>
      </c>
      <c r="I36" s="17" t="n">
        <v>10000</v>
      </c>
      <c r="J36" s="21" t="n">
        <f aca="false">I36*H36</f>
        <v>500</v>
      </c>
      <c r="K36" s="22"/>
      <c r="L36" s="22"/>
      <c r="M36" s="21"/>
      <c r="N36" s="21"/>
      <c r="O36" s="23"/>
    </row>
    <row r="37" customFormat="false" ht="15" hidden="false" customHeight="false" outlineLevel="0" collapsed="false">
      <c r="A37" s="1"/>
      <c r="B37" s="16"/>
      <c r="C37" s="17"/>
      <c r="D37" s="17"/>
      <c r="E37" s="18"/>
      <c r="F37" s="19" t="s">
        <v>18</v>
      </c>
      <c r="G37" s="17" t="n">
        <v>1</v>
      </c>
      <c r="H37" s="81" t="n">
        <v>0.6</v>
      </c>
      <c r="I37" s="17" t="n">
        <v>170</v>
      </c>
      <c r="J37" s="21" t="n">
        <f aca="false">I37*H37</f>
        <v>102</v>
      </c>
      <c r="K37" s="22"/>
      <c r="L37" s="22"/>
      <c r="M37" s="21"/>
      <c r="N37" s="21"/>
      <c r="O37" s="23"/>
    </row>
    <row r="38" customFormat="false" ht="15" hidden="false" customHeight="false" outlineLevel="0" collapsed="false">
      <c r="A38" s="1"/>
      <c r="B38" s="16"/>
      <c r="C38" s="17"/>
      <c r="D38" s="17"/>
      <c r="E38" s="18"/>
      <c r="F38" s="19" t="s">
        <v>19</v>
      </c>
      <c r="G38" s="17" t="n">
        <v>1</v>
      </c>
      <c r="H38" s="81" t="n">
        <v>0.03</v>
      </c>
      <c r="I38" s="17" t="n">
        <v>170</v>
      </c>
      <c r="J38" s="21" t="n">
        <f aca="false">I38*H38</f>
        <v>5.1</v>
      </c>
      <c r="K38" s="22"/>
      <c r="L38" s="22"/>
      <c r="M38" s="21"/>
      <c r="N38" s="21"/>
      <c r="O38" s="23"/>
    </row>
    <row r="39" customFormat="false" ht="15" hidden="false" customHeight="false" outlineLevel="0" collapsed="false">
      <c r="A39" s="1"/>
      <c r="B39" s="16"/>
      <c r="C39" s="17"/>
      <c r="D39" s="17"/>
      <c r="E39" s="18"/>
      <c r="F39" s="19" t="s">
        <v>98</v>
      </c>
      <c r="G39" s="17" t="n">
        <v>8</v>
      </c>
      <c r="H39" s="81" t="n">
        <v>0.25</v>
      </c>
      <c r="I39" s="17" t="n">
        <v>170</v>
      </c>
      <c r="J39" s="21" t="n">
        <f aca="false">I39*H39</f>
        <v>42.5</v>
      </c>
      <c r="K39" s="22"/>
      <c r="L39" s="22"/>
      <c r="M39" s="21"/>
      <c r="N39" s="21"/>
      <c r="O39" s="23"/>
    </row>
    <row r="40" customFormat="false" ht="15" hidden="false" customHeight="false" outlineLevel="0" collapsed="false">
      <c r="A40" s="1"/>
      <c r="B40" s="16"/>
      <c r="C40" s="17"/>
      <c r="D40" s="17"/>
      <c r="E40" s="18"/>
      <c r="F40" s="19" t="s">
        <v>112</v>
      </c>
      <c r="G40" s="17" t="n">
        <v>1</v>
      </c>
      <c r="H40" s="81" t="n">
        <v>0.05</v>
      </c>
      <c r="I40" s="17" t="n">
        <v>170</v>
      </c>
      <c r="J40" s="21" t="n">
        <f aca="false">I40*H40</f>
        <v>8.5</v>
      </c>
      <c r="K40" s="22"/>
      <c r="L40" s="22"/>
      <c r="M40" s="21"/>
      <c r="N40" s="21"/>
      <c r="O40" s="23"/>
    </row>
    <row r="41" customFormat="false" ht="15" hidden="false" customHeight="false" outlineLevel="0" collapsed="false">
      <c r="A41" s="1"/>
      <c r="B41" s="25"/>
      <c r="C41" s="26"/>
      <c r="D41" s="26"/>
      <c r="E41" s="27"/>
      <c r="F41" s="28"/>
      <c r="G41" s="28"/>
      <c r="H41" s="29"/>
      <c r="I41" s="26"/>
      <c r="J41" s="30"/>
      <c r="K41" s="27"/>
      <c r="L41" s="27"/>
      <c r="M41" s="27"/>
      <c r="N41" s="31"/>
      <c r="O41" s="32"/>
    </row>
    <row r="42" customFormat="false" ht="15" hidden="false" customHeight="false" outlineLevel="0" collapsed="false">
      <c r="A42" s="1"/>
      <c r="B42" s="33"/>
      <c r="C42" s="34"/>
      <c r="D42" s="34"/>
      <c r="E42" s="35" t="n">
        <f aca="false">SUM(E34:E41)</f>
        <v>7.23</v>
      </c>
      <c r="F42" s="34"/>
      <c r="G42" s="34" t="n">
        <f aca="false">SUM(G34:G41)</f>
        <v>169</v>
      </c>
      <c r="H42" s="35" t="n">
        <f aca="false">SUM(H34:H41)</f>
        <v>3.35</v>
      </c>
      <c r="I42" s="34"/>
      <c r="J42" s="36" t="n">
        <f aca="false">SUM(J34:J41)</f>
        <v>36208.1</v>
      </c>
      <c r="K42" s="35" t="n">
        <f aca="false">SUM(K34:K41)</f>
        <v>6.56</v>
      </c>
      <c r="L42" s="35" t="n">
        <f aca="false">SUM(L34:L41)</f>
        <v>4.92</v>
      </c>
      <c r="M42" s="36" t="n">
        <f aca="false">SUM(M34:M41)</f>
        <v>72816</v>
      </c>
      <c r="N42" s="37" t="n">
        <f aca="false">SUM(N34:N41)</f>
        <v>7000</v>
      </c>
      <c r="O42" s="38" t="n">
        <f aca="false">SUM(O34:O41)</f>
        <v>116024.1</v>
      </c>
    </row>
  </sheetData>
  <mergeCells count="33">
    <mergeCell ref="A2:A17"/>
    <mergeCell ref="B2:B3"/>
    <mergeCell ref="C2:C3"/>
    <mergeCell ref="D2:D3"/>
    <mergeCell ref="E2:E3"/>
    <mergeCell ref="F2:J2"/>
    <mergeCell ref="K2:K3"/>
    <mergeCell ref="L2:L3"/>
    <mergeCell ref="M2:M3"/>
    <mergeCell ref="N2:N3"/>
    <mergeCell ref="O2:O3"/>
    <mergeCell ref="A19:A30"/>
    <mergeCell ref="B19:B20"/>
    <mergeCell ref="C19:C20"/>
    <mergeCell ref="D19:D20"/>
    <mergeCell ref="E19:E20"/>
    <mergeCell ref="F19:J19"/>
    <mergeCell ref="K19:K20"/>
    <mergeCell ref="L19:L20"/>
    <mergeCell ref="M19:M20"/>
    <mergeCell ref="N19:N20"/>
    <mergeCell ref="O19:O20"/>
    <mergeCell ref="A32:A42"/>
    <mergeCell ref="B32:B33"/>
    <mergeCell ref="C32:C33"/>
    <mergeCell ref="D32:D33"/>
    <mergeCell ref="E32:E33"/>
    <mergeCell ref="F32:J32"/>
    <mergeCell ref="K32:K33"/>
    <mergeCell ref="L32:L33"/>
    <mergeCell ref="M32:M33"/>
    <mergeCell ref="N32:N33"/>
    <mergeCell ref="O32:O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Santosh Mishra</dc:creator>
  <dc:description/>
  <dc:language>en-US</dc:language>
  <cp:lastModifiedBy/>
  <cp:lastPrinted>2026-08-19T02:03:25Z</cp:lastPrinted>
  <dcterms:modified xsi:type="dcterms:W3CDTF">2026-08-25T02:50:44Z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