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.dell\Desktop\anuj\"/>
    </mc:Choice>
  </mc:AlternateContent>
  <xr:revisionPtr revIDLastSave="0" documentId="13_ncr:1_{3CA4EEB3-96BD-43C7-8BD0-45683E6946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" sheetId="14" r:id="rId1"/>
    <sheet name="RHEEA" sheetId="15" r:id="rId2"/>
    <sheet name="UM" sheetId="13" r:id="rId3"/>
    <sheet name="BEMAL" sheetId="21" r:id="rId4"/>
    <sheet name="sattar" sheetId="2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7" i="21" l="1"/>
  <c r="G147" i="21"/>
  <c r="E147" i="21"/>
  <c r="K140" i="21"/>
  <c r="L140" i="21" s="1"/>
  <c r="J147" i="21"/>
  <c r="M140" i="21" l="1"/>
  <c r="K147" i="21"/>
  <c r="N147" i="21" l="1"/>
  <c r="O140" i="21"/>
  <c r="M147" i="21"/>
  <c r="L147" i="21"/>
  <c r="O147" i="21" l="1"/>
  <c r="H188" i="13" l="1"/>
  <c r="G188" i="13"/>
  <c r="O54" i="15" l="1"/>
  <c r="L54" i="15"/>
  <c r="M54" i="15" s="1"/>
  <c r="M58" i="15" s="1"/>
  <c r="N54" i="15"/>
  <c r="N58" i="15" s="1"/>
  <c r="J55" i="15"/>
  <c r="I58" i="15"/>
  <c r="H58" i="15"/>
  <c r="G58" i="15"/>
  <c r="E58" i="15"/>
  <c r="K54" i="15"/>
  <c r="J54" i="15"/>
  <c r="L58" i="15" l="1"/>
  <c r="J58" i="15"/>
  <c r="K58" i="15"/>
  <c r="O58" i="15"/>
  <c r="J188" i="13" l="1"/>
  <c r="J189" i="13"/>
  <c r="J187" i="13"/>
  <c r="J186" i="13"/>
  <c r="E131" i="21"/>
  <c r="K131" i="21" s="1"/>
  <c r="N131" i="21" s="1"/>
  <c r="J132" i="21"/>
  <c r="J131" i="21"/>
  <c r="J128" i="21"/>
  <c r="E128" i="21"/>
  <c r="L131" i="21" l="1"/>
  <c r="M131" i="21" s="1"/>
  <c r="O131" i="21" s="1"/>
  <c r="K186" i="13"/>
  <c r="N186" i="13" s="1"/>
  <c r="K128" i="21"/>
  <c r="H116" i="21"/>
  <c r="G116" i="21"/>
  <c r="E116" i="21"/>
  <c r="J113" i="21"/>
  <c r="J112" i="21"/>
  <c r="J111" i="21"/>
  <c r="J110" i="21"/>
  <c r="K109" i="21"/>
  <c r="L109" i="21" s="1"/>
  <c r="M109" i="21" s="1"/>
  <c r="J109" i="21"/>
  <c r="N128" i="21" l="1"/>
  <c r="L128" i="21"/>
  <c r="M128" i="21" s="1"/>
  <c r="L186" i="13"/>
  <c r="M186" i="13" s="1"/>
  <c r="O186" i="13" s="1"/>
  <c r="J116" i="21"/>
  <c r="K116" i="21"/>
  <c r="N109" i="21"/>
  <c r="N116" i="21" s="1"/>
  <c r="M116" i="21"/>
  <c r="L116" i="21"/>
  <c r="O128" i="21" l="1"/>
  <c r="O109" i="21"/>
  <c r="O116" i="21" s="1"/>
  <c r="E124" i="21" l="1"/>
  <c r="K124" i="21" s="1"/>
  <c r="K120" i="21"/>
  <c r="G136" i="21"/>
  <c r="H136" i="21"/>
  <c r="J120" i="21"/>
  <c r="L34" i="28"/>
  <c r="J184" i="13"/>
  <c r="J183" i="13"/>
  <c r="J182" i="13"/>
  <c r="K181" i="13"/>
  <c r="N181" i="13" s="1"/>
  <c r="J181" i="13"/>
  <c r="K176" i="13"/>
  <c r="J178" i="13"/>
  <c r="J179" i="13"/>
  <c r="J177" i="13"/>
  <c r="H196" i="13"/>
  <c r="G196" i="13"/>
  <c r="E196" i="13"/>
  <c r="J176" i="13"/>
  <c r="N124" i="21" l="1"/>
  <c r="L124" i="21"/>
  <c r="M124" i="21" s="1"/>
  <c r="N120" i="21"/>
  <c r="L120" i="21"/>
  <c r="M120" i="21" s="1"/>
  <c r="E136" i="21"/>
  <c r="J136" i="21"/>
  <c r="L181" i="13"/>
  <c r="M181" i="13" s="1"/>
  <c r="O181" i="13" s="1"/>
  <c r="K196" i="13"/>
  <c r="J196" i="13"/>
  <c r="N176" i="13"/>
  <c r="L176" i="13"/>
  <c r="M176" i="13" s="1"/>
  <c r="M34" i="28"/>
  <c r="O120" i="21" l="1"/>
  <c r="O124" i="21"/>
  <c r="N136" i="21"/>
  <c r="N196" i="13"/>
  <c r="O176" i="13"/>
  <c r="O196" i="13" s="1"/>
  <c r="L136" i="21"/>
  <c r="K136" i="21"/>
  <c r="M136" i="21"/>
  <c r="M196" i="13"/>
  <c r="L196" i="13"/>
  <c r="K34" i="28"/>
  <c r="O136" i="21" l="1"/>
  <c r="K42" i="28" l="1"/>
  <c r="J40" i="28"/>
  <c r="J39" i="28"/>
  <c r="J38" i="28"/>
  <c r="H42" i="28"/>
  <c r="G42" i="28"/>
  <c r="E42" i="28"/>
  <c r="J37" i="28"/>
  <c r="J36" i="28"/>
  <c r="O34" i="28" s="1"/>
  <c r="J35" i="28"/>
  <c r="N42" i="28"/>
  <c r="J34" i="28"/>
  <c r="J42" i="28" l="1"/>
  <c r="L42" i="28" l="1"/>
  <c r="O42" i="28"/>
  <c r="M42" i="28"/>
  <c r="N101" i="21" l="1"/>
  <c r="K101" i="21" l="1"/>
  <c r="L101" i="21" s="1"/>
  <c r="M101" i="21" s="1"/>
  <c r="J101" i="21"/>
  <c r="O101" i="21" l="1"/>
  <c r="H105" i="21" l="1"/>
  <c r="G105" i="21"/>
  <c r="E105" i="21"/>
  <c r="K96" i="21"/>
  <c r="L96" i="21" s="1"/>
  <c r="J96" i="21"/>
  <c r="J105" i="21" s="1"/>
  <c r="N105" i="21" l="1"/>
  <c r="K105" i="21"/>
  <c r="L105" i="21" l="1"/>
  <c r="M96" i="21"/>
  <c r="O96" i="21" s="1"/>
  <c r="M105" i="21" l="1"/>
  <c r="O105" i="21"/>
  <c r="M76" i="14" l="1"/>
  <c r="H82" i="14" l="1"/>
  <c r="G82" i="14"/>
  <c r="E82" i="14"/>
  <c r="J79" i="14"/>
  <c r="K76" i="14"/>
  <c r="J77" i="14"/>
  <c r="J76" i="14"/>
  <c r="N76" i="14" l="1"/>
  <c r="L76" i="14"/>
  <c r="K82" i="14"/>
  <c r="J78" i="14"/>
  <c r="J82" i="14" s="1"/>
  <c r="M66" i="14"/>
  <c r="M82" i="14" l="1"/>
  <c r="L82" i="14"/>
  <c r="N82" i="14"/>
  <c r="H172" i="13"/>
  <c r="G172" i="13"/>
  <c r="E172" i="13"/>
  <c r="K168" i="13"/>
  <c r="N168" i="13" s="1"/>
  <c r="J168" i="13"/>
  <c r="J172" i="13" s="1"/>
  <c r="N87" i="21"/>
  <c r="J90" i="21"/>
  <c r="N21" i="28"/>
  <c r="N26" i="28"/>
  <c r="K26" i="28"/>
  <c r="L26" i="28" s="1"/>
  <c r="J27" i="28"/>
  <c r="J26" i="28"/>
  <c r="H89" i="21"/>
  <c r="K87" i="21" s="1"/>
  <c r="J88" i="21"/>
  <c r="O76" i="14" l="1"/>
  <c r="O82" i="14" s="1"/>
  <c r="K172" i="13"/>
  <c r="L168" i="13"/>
  <c r="M26" i="28"/>
  <c r="O26" i="28" s="1"/>
  <c r="H92" i="21"/>
  <c r="G92" i="21"/>
  <c r="E92" i="21"/>
  <c r="N92" i="21"/>
  <c r="K92" i="21"/>
  <c r="J87" i="21"/>
  <c r="J92" i="21" s="1"/>
  <c r="H68" i="14"/>
  <c r="J68" i="14" s="1"/>
  <c r="H72" i="14"/>
  <c r="G72" i="14"/>
  <c r="E72" i="14"/>
  <c r="J69" i="14"/>
  <c r="J67" i="14"/>
  <c r="J66" i="14"/>
  <c r="L172" i="13" l="1"/>
  <c r="M168" i="13"/>
  <c r="N172" i="13"/>
  <c r="L87" i="21"/>
  <c r="K66" i="14"/>
  <c r="L66" i="14" s="1"/>
  <c r="J72" i="14"/>
  <c r="N66" i="14" l="1"/>
  <c r="O66" i="14" s="1"/>
  <c r="K72" i="14"/>
  <c r="M172" i="13"/>
  <c r="O168" i="13"/>
  <c r="O172" i="13" s="1"/>
  <c r="M87" i="21"/>
  <c r="O87" i="21" s="1"/>
  <c r="O92" i="21" s="1"/>
  <c r="L92" i="21"/>
  <c r="L72" i="14"/>
  <c r="M92" i="21" l="1"/>
  <c r="N72" i="14"/>
  <c r="M72" i="14"/>
  <c r="O72" i="14"/>
  <c r="K21" i="28" l="1"/>
  <c r="J24" i="28"/>
  <c r="J23" i="28"/>
  <c r="J22" i="28"/>
  <c r="J21" i="28"/>
  <c r="N30" i="28"/>
  <c r="H30" i="28"/>
  <c r="G30" i="28"/>
  <c r="L21" i="28" l="1"/>
  <c r="M21" i="28" s="1"/>
  <c r="O21" i="28" s="1"/>
  <c r="J30" i="28"/>
  <c r="K30" i="28"/>
  <c r="E30" i="28"/>
  <c r="H83" i="21"/>
  <c r="G83" i="21"/>
  <c r="J81" i="21"/>
  <c r="J80" i="21"/>
  <c r="J79" i="21"/>
  <c r="J78" i="21"/>
  <c r="J77" i="21"/>
  <c r="E77" i="21"/>
  <c r="J75" i="21"/>
  <c r="J74" i="21"/>
  <c r="J73" i="21"/>
  <c r="K72" i="21"/>
  <c r="L72" i="21" s="1"/>
  <c r="M72" i="21" s="1"/>
  <c r="J72" i="21"/>
  <c r="J69" i="21"/>
  <c r="J68" i="21"/>
  <c r="J67" i="21"/>
  <c r="K66" i="21"/>
  <c r="N66" i="21" s="1"/>
  <c r="J66" i="21"/>
  <c r="K77" i="21" l="1"/>
  <c r="L77" i="21" s="1"/>
  <c r="M77" i="21" s="1"/>
  <c r="O77" i="21" s="1"/>
  <c r="L66" i="21"/>
  <c r="M66" i="21" s="1"/>
  <c r="J83" i="21"/>
  <c r="L30" i="28"/>
  <c r="N72" i="21"/>
  <c r="O72" i="21" s="1"/>
  <c r="E83" i="21"/>
  <c r="M83" i="21" l="1"/>
  <c r="K83" i="21"/>
  <c r="L83" i="21"/>
  <c r="N83" i="21"/>
  <c r="M30" i="28"/>
  <c r="O30" i="28"/>
  <c r="O66" i="21"/>
  <c r="O83" i="21" s="1"/>
  <c r="K159" i="13" l="1"/>
  <c r="N159" i="13" s="1"/>
  <c r="K156" i="13"/>
  <c r="N156" i="13" s="1"/>
  <c r="J157" i="13"/>
  <c r="J156" i="13"/>
  <c r="K152" i="13"/>
  <c r="L152" i="13" s="1"/>
  <c r="M152" i="13" s="1"/>
  <c r="J153" i="13"/>
  <c r="J152" i="13"/>
  <c r="K148" i="13"/>
  <c r="L159" i="13" l="1"/>
  <c r="M159" i="13" s="1"/>
  <c r="O159" i="13" s="1"/>
  <c r="L156" i="13"/>
  <c r="N152" i="13"/>
  <c r="O152" i="13" s="1"/>
  <c r="H164" i="13"/>
  <c r="G164" i="13"/>
  <c r="E164" i="13"/>
  <c r="J148" i="13"/>
  <c r="M156" i="13" l="1"/>
  <c r="O156" i="13" s="1"/>
  <c r="J164" i="13"/>
  <c r="K164" i="13"/>
  <c r="N148" i="13"/>
  <c r="L148" i="13"/>
  <c r="M148" i="13" s="1"/>
  <c r="N164" i="13" l="1"/>
  <c r="L164" i="13"/>
  <c r="O148" i="13" l="1"/>
  <c r="O164" i="13" s="1"/>
  <c r="M164" i="13"/>
  <c r="K118" i="13" l="1"/>
  <c r="K123" i="13"/>
  <c r="K128" i="13"/>
  <c r="K138" i="13"/>
  <c r="K133" i="13"/>
  <c r="N138" i="13" l="1"/>
  <c r="L134" i="13"/>
  <c r="L139" i="13" l="1"/>
  <c r="M139" i="13" s="1"/>
  <c r="J141" i="13"/>
  <c r="J140" i="13"/>
  <c r="J139" i="13"/>
  <c r="L138" i="13"/>
  <c r="M138" i="13" s="1"/>
  <c r="J138" i="13"/>
  <c r="O138" i="13" l="1"/>
  <c r="M134" i="13" l="1"/>
  <c r="J136" i="13" l="1"/>
  <c r="J135" i="13"/>
  <c r="J134" i="13"/>
  <c r="L133" i="13"/>
  <c r="M133" i="13" s="1"/>
  <c r="J133" i="13"/>
  <c r="J131" i="13"/>
  <c r="J130" i="13"/>
  <c r="J129" i="13"/>
  <c r="N128" i="13"/>
  <c r="J128" i="13"/>
  <c r="N133" i="13" l="1"/>
  <c r="O133" i="13" s="1"/>
  <c r="L128" i="13"/>
  <c r="M128" i="13" s="1"/>
  <c r="O128" i="13" s="1"/>
  <c r="L118" i="13" l="1"/>
  <c r="M118" i="13" l="1"/>
  <c r="J126" i="13"/>
  <c r="J125" i="13"/>
  <c r="J124" i="13"/>
  <c r="L123" i="13"/>
  <c r="M123" i="13" s="1"/>
  <c r="J123" i="13"/>
  <c r="L144" i="13" l="1"/>
  <c r="N123" i="13"/>
  <c r="O123" i="13" s="1"/>
  <c r="J40" i="15" l="1"/>
  <c r="N40" i="15"/>
  <c r="E50" i="15" l="1"/>
  <c r="K44" i="15" l="1"/>
  <c r="L44" i="15" s="1"/>
  <c r="M44" i="15" s="1"/>
  <c r="N44" i="15" l="1"/>
  <c r="J46" i="15"/>
  <c r="J45" i="15"/>
  <c r="J44" i="15"/>
  <c r="H144" i="13"/>
  <c r="G144" i="13"/>
  <c r="E144" i="13"/>
  <c r="J121" i="13"/>
  <c r="J120" i="13"/>
  <c r="J119" i="13"/>
  <c r="K144" i="13"/>
  <c r="J118" i="13"/>
  <c r="J144" i="13" l="1"/>
  <c r="O44" i="15"/>
  <c r="M144" i="13"/>
  <c r="N118" i="13"/>
  <c r="N144" i="13" s="1"/>
  <c r="O118" i="13" l="1"/>
  <c r="O144" i="13" s="1"/>
  <c r="I50" i="15" l="1"/>
  <c r="H50" i="15"/>
  <c r="G50" i="15"/>
  <c r="L40" i="15"/>
  <c r="J50" i="15" l="1"/>
  <c r="O40" i="15"/>
  <c r="L50" i="15"/>
  <c r="M50" i="15"/>
  <c r="K50" i="15"/>
  <c r="O50" i="15" l="1"/>
  <c r="N50" i="15"/>
  <c r="I36" i="15" l="1"/>
  <c r="H36" i="15"/>
  <c r="G36" i="15"/>
  <c r="E36" i="15"/>
  <c r="K32" i="15"/>
  <c r="N32" i="15" s="1"/>
  <c r="N36" i="15" s="1"/>
  <c r="J32" i="15"/>
  <c r="K109" i="13"/>
  <c r="L109" i="13" s="1"/>
  <c r="M109" i="13" s="1"/>
  <c r="J112" i="13"/>
  <c r="J111" i="13"/>
  <c r="H114" i="13"/>
  <c r="G114" i="13"/>
  <c r="J110" i="13"/>
  <c r="J109" i="13"/>
  <c r="E114" i="13"/>
  <c r="L32" i="15" l="1"/>
  <c r="M32" i="15" s="1"/>
  <c r="M36" i="15" s="1"/>
  <c r="J36" i="15"/>
  <c r="K36" i="15"/>
  <c r="N109" i="13"/>
  <c r="O109" i="13" s="1"/>
  <c r="J114" i="13"/>
  <c r="K114" i="13"/>
  <c r="L36" i="15" l="1"/>
  <c r="O32" i="15"/>
  <c r="O36" i="15" s="1"/>
  <c r="N114" i="13"/>
  <c r="L114" i="13"/>
  <c r="M114" i="13"/>
  <c r="O114" i="13" l="1"/>
  <c r="K56" i="14" l="1"/>
  <c r="N56" i="14" s="1"/>
  <c r="J60" i="14"/>
  <c r="J59" i="14"/>
  <c r="J58" i="14"/>
  <c r="J57" i="14"/>
  <c r="J56" i="14"/>
  <c r="L56" i="14" l="1"/>
  <c r="M56" i="14" s="1"/>
  <c r="O56" i="14" s="1"/>
  <c r="J57" i="21"/>
  <c r="N53" i="21"/>
  <c r="K48" i="14"/>
  <c r="N48" i="14" s="1"/>
  <c r="J48" i="14"/>
  <c r="K57" i="21"/>
  <c r="K52" i="14"/>
  <c r="N52" i="14" s="1"/>
  <c r="J52" i="14"/>
  <c r="H62" i="14"/>
  <c r="G62" i="14"/>
  <c r="E62" i="14"/>
  <c r="L48" i="14" l="1"/>
  <c r="L52" i="14"/>
  <c r="L57" i="21"/>
  <c r="M57" i="21" s="1"/>
  <c r="O57" i="21" s="1"/>
  <c r="J62" i="14"/>
  <c r="K62" i="14"/>
  <c r="K14" i="28"/>
  <c r="L14" i="28" s="1"/>
  <c r="M14" i="28" s="1"/>
  <c r="J14" i="28"/>
  <c r="K11" i="28"/>
  <c r="L11" i="28" s="1"/>
  <c r="M11" i="28" s="1"/>
  <c r="J11" i="28"/>
  <c r="J8" i="28"/>
  <c r="K8" i="28"/>
  <c r="L8" i="28" s="1"/>
  <c r="M8" i="28" s="1"/>
  <c r="O8" i="28" l="1"/>
  <c r="O11" i="28"/>
  <c r="O14" i="28"/>
  <c r="M52" i="14"/>
  <c r="O52" i="14" s="1"/>
  <c r="M48" i="14"/>
  <c r="O48" i="14" s="1"/>
  <c r="L62" i="14"/>
  <c r="N62" i="14"/>
  <c r="J102" i="13"/>
  <c r="J101" i="13"/>
  <c r="J100" i="13"/>
  <c r="J99" i="13"/>
  <c r="K98" i="13"/>
  <c r="L98" i="13" s="1"/>
  <c r="M98" i="13" s="1"/>
  <c r="J98" i="13"/>
  <c r="H44" i="14"/>
  <c r="G44" i="14"/>
  <c r="E44" i="14"/>
  <c r="K41" i="14"/>
  <c r="K44" i="14" s="1"/>
  <c r="J41" i="14"/>
  <c r="J44" i="14" s="1"/>
  <c r="M62" i="14" l="1"/>
  <c r="O62" i="14"/>
  <c r="M41" i="14"/>
  <c r="N41" i="14"/>
  <c r="N44" i="14" s="1"/>
  <c r="N98" i="13"/>
  <c r="O98" i="13" s="1"/>
  <c r="L44" i="14"/>
  <c r="M44" i="14" l="1"/>
  <c r="O41" i="14" l="1"/>
  <c r="O44" i="14" s="1"/>
  <c r="E94" i="13" l="1"/>
  <c r="K86" i="13" l="1"/>
  <c r="L86" i="13" s="1"/>
  <c r="M86" i="13" s="1"/>
  <c r="J86" i="13"/>
  <c r="J84" i="13"/>
  <c r="K83" i="13"/>
  <c r="L83" i="13" s="1"/>
  <c r="M83" i="13" s="1"/>
  <c r="J83" i="13"/>
  <c r="H105" i="13"/>
  <c r="G105" i="13"/>
  <c r="E105" i="13"/>
  <c r="K94" i="13"/>
  <c r="N94" i="13" s="1"/>
  <c r="I28" i="15"/>
  <c r="H28" i="15"/>
  <c r="G28" i="15"/>
  <c r="E28" i="15"/>
  <c r="K24" i="15"/>
  <c r="K28" i="15" s="1"/>
  <c r="J24" i="15"/>
  <c r="J28" i="15" s="1"/>
  <c r="E4" i="28"/>
  <c r="K4" i="28" s="1"/>
  <c r="L4" i="28" s="1"/>
  <c r="H17" i="28"/>
  <c r="G17" i="28"/>
  <c r="J17" i="28"/>
  <c r="H90" i="13"/>
  <c r="G90" i="13"/>
  <c r="E90" i="13"/>
  <c r="K34" i="14"/>
  <c r="H37" i="14"/>
  <c r="G37" i="14"/>
  <c r="E37" i="14"/>
  <c r="J34" i="14"/>
  <c r="J37" i="14" s="1"/>
  <c r="K73" i="13"/>
  <c r="E79" i="13"/>
  <c r="H79" i="13"/>
  <c r="G79" i="13"/>
  <c r="K68" i="13"/>
  <c r="J71" i="13"/>
  <c r="J70" i="13"/>
  <c r="J69" i="13"/>
  <c r="J68" i="13"/>
  <c r="J67" i="13"/>
  <c r="J77" i="13"/>
  <c r="J76" i="13"/>
  <c r="J75" i="13"/>
  <c r="J74" i="13"/>
  <c r="J73" i="13"/>
  <c r="K53" i="21"/>
  <c r="L53" i="21" s="1"/>
  <c r="M53" i="21" s="1"/>
  <c r="H62" i="21"/>
  <c r="G62" i="21"/>
  <c r="E62" i="21"/>
  <c r="J53" i="21"/>
  <c r="K49" i="13"/>
  <c r="N49" i="13" s="1"/>
  <c r="K59" i="13"/>
  <c r="L60" i="13"/>
  <c r="M60" i="13" s="1"/>
  <c r="J59" i="13"/>
  <c r="K52" i="13"/>
  <c r="J54" i="13"/>
  <c r="J55" i="13"/>
  <c r="J56" i="13"/>
  <c r="J57" i="13"/>
  <c r="J53" i="13"/>
  <c r="J52" i="13"/>
  <c r="E17" i="28" l="1"/>
  <c r="O83" i="13"/>
  <c r="K105" i="13"/>
  <c r="O86" i="13"/>
  <c r="L94" i="13"/>
  <c r="L105" i="13" s="1"/>
  <c r="J105" i="13"/>
  <c r="N105" i="13"/>
  <c r="L24" i="15"/>
  <c r="N28" i="15"/>
  <c r="K17" i="28"/>
  <c r="J90" i="13"/>
  <c r="K90" i="13"/>
  <c r="N34" i="14"/>
  <c r="L34" i="14"/>
  <c r="M34" i="14" s="1"/>
  <c r="K37" i="14"/>
  <c r="J79" i="13"/>
  <c r="L68" i="13"/>
  <c r="M68" i="13" s="1"/>
  <c r="K67" i="13"/>
  <c r="N67" i="13" s="1"/>
  <c r="L73" i="13"/>
  <c r="M73" i="13" s="1"/>
  <c r="N73" i="13"/>
  <c r="J62" i="21"/>
  <c r="K62" i="21"/>
  <c r="H63" i="13"/>
  <c r="G63" i="13"/>
  <c r="E63" i="13"/>
  <c r="L49" i="13"/>
  <c r="M49" i="13" s="1"/>
  <c r="J49" i="13"/>
  <c r="J63" i="13" s="1"/>
  <c r="K25" i="14"/>
  <c r="L25" i="14" s="1"/>
  <c r="M25" i="14" s="1"/>
  <c r="J26" i="14"/>
  <c r="J25" i="14"/>
  <c r="G30" i="14"/>
  <c r="E30" i="14"/>
  <c r="J23" i="14"/>
  <c r="J22" i="14"/>
  <c r="J21" i="14"/>
  <c r="J20" i="14"/>
  <c r="J19" i="14"/>
  <c r="M94" i="13" l="1"/>
  <c r="M105" i="13" s="1"/>
  <c r="O34" i="14"/>
  <c r="L28" i="15"/>
  <c r="M28" i="15"/>
  <c r="N17" i="28"/>
  <c r="M4" i="28"/>
  <c r="O4" i="28" s="1"/>
  <c r="L17" i="28"/>
  <c r="N90" i="13"/>
  <c r="L90" i="13"/>
  <c r="O73" i="13"/>
  <c r="N37" i="14"/>
  <c r="L37" i="14"/>
  <c r="K79" i="13"/>
  <c r="L67" i="13"/>
  <c r="N79" i="13"/>
  <c r="N62" i="21"/>
  <c r="O53" i="21"/>
  <c r="L62" i="21"/>
  <c r="N59" i="13"/>
  <c r="L59" i="13"/>
  <c r="M59" i="13" s="1"/>
  <c r="L52" i="13"/>
  <c r="M52" i="13" s="1"/>
  <c r="N52" i="13"/>
  <c r="K63" i="13"/>
  <c r="N25" i="14"/>
  <c r="O25" i="14" s="1"/>
  <c r="J30" i="14"/>
  <c r="K19" i="14"/>
  <c r="H30" i="14"/>
  <c r="O94" i="13" l="1"/>
  <c r="O105" i="13" s="1"/>
  <c r="O24" i="15"/>
  <c r="O28" i="15" s="1"/>
  <c r="M17" i="28"/>
  <c r="O17" i="28"/>
  <c r="M90" i="13"/>
  <c r="O90" i="13"/>
  <c r="M67" i="13"/>
  <c r="L79" i="13"/>
  <c r="M37" i="14"/>
  <c r="O37" i="14"/>
  <c r="M62" i="21"/>
  <c r="O62" i="21"/>
  <c r="O59" i="13"/>
  <c r="N63" i="13"/>
  <c r="O52" i="13"/>
  <c r="L63" i="13"/>
  <c r="M63" i="13"/>
  <c r="O49" i="13"/>
  <c r="K30" i="14"/>
  <c r="L19" i="14"/>
  <c r="M19" i="14" s="1"/>
  <c r="N19" i="14"/>
  <c r="M79" i="13" l="1"/>
  <c r="O67" i="13"/>
  <c r="O79" i="13" s="1"/>
  <c r="O63" i="13"/>
  <c r="N30" i="14"/>
  <c r="L30" i="14"/>
  <c r="M30" i="14"/>
  <c r="O19" i="14" l="1"/>
  <c r="O30" i="14" s="1"/>
  <c r="E40" i="21" l="1"/>
  <c r="J41" i="13" l="1"/>
  <c r="K40" i="13"/>
  <c r="N40" i="13" s="1"/>
  <c r="J40" i="13"/>
  <c r="J37" i="13"/>
  <c r="J36" i="13"/>
  <c r="K32" i="13"/>
  <c r="N32" i="13" s="1"/>
  <c r="H45" i="13"/>
  <c r="G45" i="13"/>
  <c r="E45" i="13"/>
  <c r="K36" i="13"/>
  <c r="L36" i="13" s="1"/>
  <c r="M36" i="13" s="1"/>
  <c r="J33" i="13"/>
  <c r="J32" i="13"/>
  <c r="J41" i="21"/>
  <c r="H40" i="21"/>
  <c r="G40" i="21"/>
  <c r="J45" i="21"/>
  <c r="J44" i="21"/>
  <c r="K44" i="21"/>
  <c r="N44" i="21" s="1"/>
  <c r="E37" i="21"/>
  <c r="K37" i="21" s="1"/>
  <c r="L40" i="13" l="1"/>
  <c r="M40" i="13" s="1"/>
  <c r="O40" i="13" s="1"/>
  <c r="J45" i="13"/>
  <c r="L32" i="13"/>
  <c r="K45" i="13"/>
  <c r="N36" i="13"/>
  <c r="O36" i="13" s="1"/>
  <c r="K40" i="21"/>
  <c r="L40" i="21" s="1"/>
  <c r="M40" i="21" s="1"/>
  <c r="J40" i="21"/>
  <c r="L37" i="21"/>
  <c r="M37" i="21" s="1"/>
  <c r="O37" i="21" s="1"/>
  <c r="L44" i="21"/>
  <c r="M44" i="21" s="1"/>
  <c r="O44" i="21" s="1"/>
  <c r="H49" i="21"/>
  <c r="G49" i="21"/>
  <c r="E49" i="21"/>
  <c r="K32" i="21"/>
  <c r="J32" i="21"/>
  <c r="L45" i="13" l="1"/>
  <c r="M32" i="13"/>
  <c r="O32" i="13" s="1"/>
  <c r="N45" i="13"/>
  <c r="J49" i="21"/>
  <c r="L32" i="21"/>
  <c r="M32" i="21" s="1"/>
  <c r="O40" i="21"/>
  <c r="K49" i="21"/>
  <c r="K16" i="15"/>
  <c r="I20" i="15"/>
  <c r="H20" i="15"/>
  <c r="G20" i="15"/>
  <c r="E20" i="15"/>
  <c r="J16" i="15"/>
  <c r="N16" i="15" l="1"/>
  <c r="N20" i="15" s="1"/>
  <c r="L16" i="15"/>
  <c r="M16" i="15" s="1"/>
  <c r="M45" i="13"/>
  <c r="O45" i="13"/>
  <c r="N49" i="21"/>
  <c r="O32" i="21"/>
  <c r="O49" i="21" s="1"/>
  <c r="L49" i="21"/>
  <c r="M49" i="21"/>
  <c r="J20" i="15"/>
  <c r="K20" i="15"/>
  <c r="L20" i="15" l="1"/>
  <c r="M20" i="15"/>
  <c r="O16" i="15"/>
  <c r="O20" i="15" s="1"/>
  <c r="H4" i="14" l="1"/>
  <c r="H15" i="14" s="1"/>
  <c r="G4" i="14"/>
  <c r="G15" i="14" s="1"/>
  <c r="K10" i="14"/>
  <c r="J10" i="14"/>
  <c r="N4" i="15"/>
  <c r="I12" i="15"/>
  <c r="H12" i="15"/>
  <c r="G12" i="15"/>
  <c r="E12" i="15"/>
  <c r="J10" i="15"/>
  <c r="J9" i="15"/>
  <c r="J8" i="15"/>
  <c r="J7" i="15"/>
  <c r="J6" i="15"/>
  <c r="J5" i="15"/>
  <c r="K4" i="15"/>
  <c r="L4" i="15" s="1"/>
  <c r="M4" i="15" s="1"/>
  <c r="J4" i="15"/>
  <c r="K23" i="13"/>
  <c r="J24" i="13"/>
  <c r="J23" i="13"/>
  <c r="J8" i="14"/>
  <c r="J7" i="14"/>
  <c r="J6" i="14"/>
  <c r="E15" i="14"/>
  <c r="J5" i="14"/>
  <c r="K11" i="21"/>
  <c r="L11" i="21" s="1"/>
  <c r="M11" i="21" s="1"/>
  <c r="K15" i="21"/>
  <c r="L15" i="21" s="1"/>
  <c r="M15" i="21" s="1"/>
  <c r="J8" i="21"/>
  <c r="J5" i="21"/>
  <c r="K7" i="21"/>
  <c r="J7" i="21"/>
  <c r="H20" i="21"/>
  <c r="G20" i="21"/>
  <c r="E20" i="21"/>
  <c r="K4" i="21"/>
  <c r="J4" i="21"/>
  <c r="N5" i="13"/>
  <c r="H28" i="13"/>
  <c r="G28" i="13"/>
  <c r="E28" i="13"/>
  <c r="J20" i="13"/>
  <c r="J19" i="13"/>
  <c r="K18" i="13"/>
  <c r="L18" i="13" s="1"/>
  <c r="J18" i="13"/>
  <c r="K4" i="13"/>
  <c r="N4" i="13" s="1"/>
  <c r="K10" i="13"/>
  <c r="J10" i="13"/>
  <c r="J8" i="13"/>
  <c r="J7" i="13"/>
  <c r="J6" i="13"/>
  <c r="J5" i="13"/>
  <c r="J4" i="13"/>
  <c r="H28" i="21"/>
  <c r="G28" i="21"/>
  <c r="E28" i="21"/>
  <c r="J25" i="21"/>
  <c r="K24" i="21"/>
  <c r="J24" i="21"/>
  <c r="H14" i="13"/>
  <c r="G14" i="13"/>
  <c r="E14" i="13"/>
  <c r="K4" i="14" l="1"/>
  <c r="K15" i="14" s="1"/>
  <c r="J4" i="14"/>
  <c r="J15" i="14" s="1"/>
  <c r="O4" i="15"/>
  <c r="J12" i="15"/>
  <c r="N10" i="14"/>
  <c r="L10" i="14"/>
  <c r="M10" i="14" s="1"/>
  <c r="K12" i="15"/>
  <c r="N23" i="13"/>
  <c r="L23" i="13"/>
  <c r="M23" i="13" s="1"/>
  <c r="J28" i="13"/>
  <c r="O11" i="21"/>
  <c r="O15" i="21"/>
  <c r="K20" i="21"/>
  <c r="J20" i="21"/>
  <c r="L7" i="21"/>
  <c r="M7" i="21" s="1"/>
  <c r="N7" i="21"/>
  <c r="J28" i="21"/>
  <c r="L4" i="21"/>
  <c r="M4" i="21" s="1"/>
  <c r="N4" i="21"/>
  <c r="N18" i="13"/>
  <c r="M18" i="13"/>
  <c r="K28" i="13"/>
  <c r="N10" i="13"/>
  <c r="L10" i="13"/>
  <c r="M10" i="13" s="1"/>
  <c r="J14" i="13"/>
  <c r="L4" i="13"/>
  <c r="M4" i="13" s="1"/>
  <c r="O4" i="13" s="1"/>
  <c r="N24" i="21"/>
  <c r="L24" i="21"/>
  <c r="M24" i="21" s="1"/>
  <c r="K28" i="21"/>
  <c r="K14" i="13"/>
  <c r="L4" i="14" l="1"/>
  <c r="M4" i="14" s="1"/>
  <c r="N4" i="14"/>
  <c r="N15" i="14" s="1"/>
  <c r="O23" i="13"/>
  <c r="O18" i="13"/>
  <c r="O10" i="14"/>
  <c r="L12" i="15"/>
  <c r="N12" i="15"/>
  <c r="O10" i="13"/>
  <c r="O7" i="21"/>
  <c r="L20" i="21"/>
  <c r="N20" i="21"/>
  <c r="L28" i="13"/>
  <c r="M28" i="13"/>
  <c r="N28" i="13"/>
  <c r="N28" i="21"/>
  <c r="L28" i="21"/>
  <c r="O24" i="21"/>
  <c r="N14" i="13"/>
  <c r="L14" i="13"/>
  <c r="L15" i="14" l="1"/>
  <c r="O4" i="14"/>
  <c r="O15" i="14" s="1"/>
  <c r="M12" i="15"/>
  <c r="O12" i="15"/>
  <c r="M15" i="14"/>
  <c r="M20" i="21"/>
  <c r="O4" i="21"/>
  <c r="O20" i="21" s="1"/>
  <c r="O28" i="13"/>
  <c r="M28" i="21"/>
  <c r="O28" i="21"/>
  <c r="M14" i="13"/>
  <c r="O14" i="13"/>
</calcChain>
</file>

<file path=xl/sharedStrings.xml><?xml version="1.0" encoding="utf-8"?>
<sst xmlns="http://schemas.openxmlformats.org/spreadsheetml/2006/main" count="942" uniqueCount="113">
  <si>
    <t>sr.no</t>
  </si>
  <si>
    <t>degine</t>
  </si>
  <si>
    <t>ref</t>
  </si>
  <si>
    <t>GR WT</t>
  </si>
  <si>
    <t>STUDDED DIA.,CS.,EXTRA DETAILS</t>
  </si>
  <si>
    <t>NET WT.</t>
  </si>
  <si>
    <t>PURE WT.</t>
  </si>
  <si>
    <t>GOLD AMM</t>
  </si>
  <si>
    <t>LABOUR CHGS.</t>
  </si>
  <si>
    <t>TOTAL VALUE</t>
  </si>
  <si>
    <t>STUDDED</t>
  </si>
  <si>
    <t>PCS</t>
  </si>
  <si>
    <t>WT.</t>
  </si>
  <si>
    <t>RATE</t>
  </si>
  <si>
    <t>AMT.</t>
  </si>
  <si>
    <t>PE</t>
  </si>
  <si>
    <t>18KT</t>
  </si>
  <si>
    <t>CZ</t>
  </si>
  <si>
    <t>POLKI</t>
  </si>
  <si>
    <t>SI/IJ</t>
  </si>
  <si>
    <t>EMD</t>
  </si>
  <si>
    <t>22KT</t>
  </si>
  <si>
    <t>RED</t>
  </si>
  <si>
    <t>GREEN</t>
  </si>
  <si>
    <t>VVS/EF</t>
  </si>
  <si>
    <t>BANGLE</t>
  </si>
  <si>
    <t>PAID</t>
  </si>
  <si>
    <t>SILVER</t>
  </si>
  <si>
    <t>CVD</t>
  </si>
  <si>
    <t>RD CVD</t>
  </si>
  <si>
    <t>EF/VVS</t>
  </si>
  <si>
    <t>EMD CVD</t>
  </si>
  <si>
    <t>06.04.26</t>
  </si>
  <si>
    <t>07.04.26</t>
  </si>
  <si>
    <t>22kt</t>
  </si>
  <si>
    <t>K-DNK-1885</t>
  </si>
  <si>
    <t>PAN CVD</t>
  </si>
  <si>
    <t>13.04.26</t>
  </si>
  <si>
    <t>15.04.26</t>
  </si>
  <si>
    <t>18kt</t>
  </si>
  <si>
    <t>17.04.26</t>
  </si>
  <si>
    <t>18.04.26</t>
  </si>
  <si>
    <t>K-DP-1022</t>
  </si>
  <si>
    <t>chain</t>
  </si>
  <si>
    <t>CS</t>
  </si>
  <si>
    <t>M-DNK-0196</t>
  </si>
  <si>
    <t>REPAIR</t>
  </si>
  <si>
    <t>NEW</t>
  </si>
  <si>
    <t>BEADS</t>
  </si>
  <si>
    <t>22.04.26</t>
  </si>
  <si>
    <t>24.04.26</t>
  </si>
  <si>
    <t>04.05.26</t>
  </si>
  <si>
    <t>07.05.26</t>
  </si>
  <si>
    <t>BUGG</t>
  </si>
  <si>
    <t>PINK</t>
  </si>
  <si>
    <t>20.05.26</t>
  </si>
  <si>
    <t>RING</t>
  </si>
  <si>
    <t>K-GER-0167</t>
  </si>
  <si>
    <t>25.05.26</t>
  </si>
  <si>
    <t>21.05.26</t>
  </si>
  <si>
    <t>PAN</t>
  </si>
  <si>
    <t>CATS EYE</t>
  </si>
  <si>
    <t>SILVER AMM</t>
  </si>
  <si>
    <t>18 kt</t>
  </si>
  <si>
    <t>29.05.26</t>
  </si>
  <si>
    <t>BRAC</t>
  </si>
  <si>
    <t>PEN CHAIN</t>
  </si>
  <si>
    <t>CHAIN PEN</t>
  </si>
  <si>
    <t>02.06.26</t>
  </si>
  <si>
    <t>BB/MOP</t>
  </si>
  <si>
    <t>03.06.26</t>
  </si>
  <si>
    <t>06.06.26</t>
  </si>
  <si>
    <t>17 NO</t>
  </si>
  <si>
    <t>20 NO</t>
  </si>
  <si>
    <t>18 KT</t>
  </si>
  <si>
    <t>BLUE</t>
  </si>
  <si>
    <t>09.06.26</t>
  </si>
  <si>
    <t>10.06.26</t>
  </si>
  <si>
    <t>RC</t>
  </si>
  <si>
    <t>k-dbp-0468</t>
  </si>
  <si>
    <t>CHOKER</t>
  </si>
  <si>
    <t>16.06.26</t>
  </si>
  <si>
    <t>H C</t>
  </si>
  <si>
    <t>19.06.26</t>
  </si>
  <si>
    <t>BELT</t>
  </si>
  <si>
    <t>19.06.25</t>
  </si>
  <si>
    <t>MQ</t>
  </si>
  <si>
    <t>OW</t>
  </si>
  <si>
    <t>24.06.26</t>
  </si>
  <si>
    <t>VVS-VS/GH</t>
  </si>
  <si>
    <t>03.07.26</t>
  </si>
  <si>
    <t>06.07.26</t>
  </si>
  <si>
    <t>08.07.26</t>
  </si>
  <si>
    <t>MOZO</t>
  </si>
  <si>
    <t>JADAI</t>
  </si>
  <si>
    <t>OVAL VVS1-G</t>
  </si>
  <si>
    <t>09.07.26</t>
  </si>
  <si>
    <t>21.07.26</t>
  </si>
  <si>
    <t>23.07.26</t>
  </si>
  <si>
    <t>27.07.26</t>
  </si>
  <si>
    <t>RUBY</t>
  </si>
  <si>
    <t>14KT</t>
  </si>
  <si>
    <t>CVD POLKI</t>
  </si>
  <si>
    <t>CVD RD</t>
  </si>
  <si>
    <t>MOTI</t>
  </si>
  <si>
    <t>14 kt</t>
  </si>
  <si>
    <t>30.07.26</t>
  </si>
  <si>
    <t>ER</t>
  </si>
  <si>
    <t>MANG</t>
  </si>
  <si>
    <t>M-DNK-</t>
  </si>
  <si>
    <t>17.08.26</t>
  </si>
  <si>
    <t>19.08.26</t>
  </si>
  <si>
    <t>M-DER-0414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</si>
</sst>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name val="Cambria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9" fontId="0" fillId="0" borderId="13" xfId="0" applyNumberForma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2" fontId="0" fillId="2" borderId="10" xfId="0" applyNumberFormat="1" applyFill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3" xfId="0" applyBorder="1"/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center" vertical="center"/>
    </xf>
    <xf numFmtId="1" fontId="0" fillId="0" borderId="0" xfId="0" applyNumberFormat="1"/>
    <xf numFmtId="2" fontId="2" fillId="2" borderId="10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2" borderId="14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" fontId="0" fillId="2" borderId="6" xfId="0" applyNumberFormat="1" applyFill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" fontId="0" fillId="2" borderId="13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0" xfId="0" applyBorder="1"/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6" xfId="0" applyBorder="1"/>
    <xf numFmtId="0" fontId="0" fillId="0" borderId="2" xfId="0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2" borderId="3" xfId="0" applyNumberFormat="1" applyFill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2B9AC43-76EA-408B-A6A4-A33D5CD5D0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16.jpeg"/><Relationship Id="rId5" Type="http://schemas.openxmlformats.org/officeDocument/2006/relationships/image" Target="../media/image15.jpeg"/><Relationship Id="rId4" Type="http://schemas.openxmlformats.org/officeDocument/2006/relationships/image" Target="../media/image14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jpeg"/><Relationship Id="rId13" Type="http://schemas.openxmlformats.org/officeDocument/2006/relationships/image" Target="../media/image29.jpeg"/><Relationship Id="rId18" Type="http://schemas.openxmlformats.org/officeDocument/2006/relationships/image" Target="../media/image34.jpeg"/><Relationship Id="rId26" Type="http://schemas.openxmlformats.org/officeDocument/2006/relationships/image" Target="../media/image42.jpeg"/><Relationship Id="rId3" Type="http://schemas.openxmlformats.org/officeDocument/2006/relationships/image" Target="../media/image19.png"/><Relationship Id="rId21" Type="http://schemas.openxmlformats.org/officeDocument/2006/relationships/image" Target="../media/image37.jpeg"/><Relationship Id="rId7" Type="http://schemas.openxmlformats.org/officeDocument/2006/relationships/image" Target="../media/image23.jpeg"/><Relationship Id="rId12" Type="http://schemas.openxmlformats.org/officeDocument/2006/relationships/image" Target="../media/image28.jpeg"/><Relationship Id="rId17" Type="http://schemas.openxmlformats.org/officeDocument/2006/relationships/image" Target="../media/image33.jpeg"/><Relationship Id="rId25" Type="http://schemas.openxmlformats.org/officeDocument/2006/relationships/image" Target="../media/image41.jpeg"/><Relationship Id="rId2" Type="http://schemas.openxmlformats.org/officeDocument/2006/relationships/image" Target="../media/image18.jpeg"/><Relationship Id="rId16" Type="http://schemas.openxmlformats.org/officeDocument/2006/relationships/image" Target="../media/image32.jpeg"/><Relationship Id="rId20" Type="http://schemas.openxmlformats.org/officeDocument/2006/relationships/image" Target="../media/image36.jpeg"/><Relationship Id="rId29" Type="http://schemas.openxmlformats.org/officeDocument/2006/relationships/image" Target="../media/image45.jpeg"/><Relationship Id="rId1" Type="http://schemas.openxmlformats.org/officeDocument/2006/relationships/image" Target="../media/image17.jpeg"/><Relationship Id="rId6" Type="http://schemas.openxmlformats.org/officeDocument/2006/relationships/image" Target="../media/image22.jpeg"/><Relationship Id="rId11" Type="http://schemas.openxmlformats.org/officeDocument/2006/relationships/image" Target="../media/image27.jpeg"/><Relationship Id="rId24" Type="http://schemas.openxmlformats.org/officeDocument/2006/relationships/image" Target="../media/image40.jpeg"/><Relationship Id="rId5" Type="http://schemas.openxmlformats.org/officeDocument/2006/relationships/image" Target="../media/image21.jpeg"/><Relationship Id="rId15" Type="http://schemas.openxmlformats.org/officeDocument/2006/relationships/image" Target="../media/image31.jpeg"/><Relationship Id="rId23" Type="http://schemas.openxmlformats.org/officeDocument/2006/relationships/image" Target="../media/image39.jpeg"/><Relationship Id="rId28" Type="http://schemas.openxmlformats.org/officeDocument/2006/relationships/image" Target="../media/image44.jpeg"/><Relationship Id="rId10" Type="http://schemas.openxmlformats.org/officeDocument/2006/relationships/image" Target="../media/image26.jpeg"/><Relationship Id="rId19" Type="http://schemas.openxmlformats.org/officeDocument/2006/relationships/image" Target="../media/image35.jpeg"/><Relationship Id="rId4" Type="http://schemas.openxmlformats.org/officeDocument/2006/relationships/image" Target="../media/image20.jpeg"/><Relationship Id="rId9" Type="http://schemas.openxmlformats.org/officeDocument/2006/relationships/image" Target="../media/image25.jpeg"/><Relationship Id="rId14" Type="http://schemas.openxmlformats.org/officeDocument/2006/relationships/image" Target="../media/image30.jpeg"/><Relationship Id="rId22" Type="http://schemas.openxmlformats.org/officeDocument/2006/relationships/image" Target="../media/image38.jpeg"/><Relationship Id="rId27" Type="http://schemas.openxmlformats.org/officeDocument/2006/relationships/image" Target="../media/image43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jpeg"/><Relationship Id="rId13" Type="http://schemas.openxmlformats.org/officeDocument/2006/relationships/image" Target="../media/image58.jpeg"/><Relationship Id="rId18" Type="http://schemas.openxmlformats.org/officeDocument/2006/relationships/image" Target="../media/image63.jpeg"/><Relationship Id="rId3" Type="http://schemas.openxmlformats.org/officeDocument/2006/relationships/image" Target="../media/image48.jpeg"/><Relationship Id="rId21" Type="http://schemas.openxmlformats.org/officeDocument/2006/relationships/image" Target="../media/image66.jpeg"/><Relationship Id="rId7" Type="http://schemas.openxmlformats.org/officeDocument/2006/relationships/image" Target="../media/image52.jpeg"/><Relationship Id="rId12" Type="http://schemas.openxmlformats.org/officeDocument/2006/relationships/image" Target="../media/image57.jpeg"/><Relationship Id="rId17" Type="http://schemas.openxmlformats.org/officeDocument/2006/relationships/image" Target="../media/image62.jpeg"/><Relationship Id="rId2" Type="http://schemas.openxmlformats.org/officeDocument/2006/relationships/image" Target="../media/image47.jpeg"/><Relationship Id="rId16" Type="http://schemas.openxmlformats.org/officeDocument/2006/relationships/image" Target="../media/image61.jpeg"/><Relationship Id="rId20" Type="http://schemas.openxmlformats.org/officeDocument/2006/relationships/image" Target="../media/image65.jpeg"/><Relationship Id="rId1" Type="http://schemas.openxmlformats.org/officeDocument/2006/relationships/image" Target="../media/image46.jpeg"/><Relationship Id="rId6" Type="http://schemas.openxmlformats.org/officeDocument/2006/relationships/image" Target="../media/image51.jpeg"/><Relationship Id="rId11" Type="http://schemas.openxmlformats.org/officeDocument/2006/relationships/image" Target="../media/image56.jpeg"/><Relationship Id="rId5" Type="http://schemas.openxmlformats.org/officeDocument/2006/relationships/image" Target="../media/image50.jpeg"/><Relationship Id="rId15" Type="http://schemas.openxmlformats.org/officeDocument/2006/relationships/image" Target="../media/image60.jpeg"/><Relationship Id="rId10" Type="http://schemas.openxmlformats.org/officeDocument/2006/relationships/image" Target="../media/image55.jpeg"/><Relationship Id="rId19" Type="http://schemas.openxmlformats.org/officeDocument/2006/relationships/image" Target="../media/image64.jpeg"/><Relationship Id="rId4" Type="http://schemas.openxmlformats.org/officeDocument/2006/relationships/image" Target="../media/image49.jpeg"/><Relationship Id="rId9" Type="http://schemas.openxmlformats.org/officeDocument/2006/relationships/image" Target="../media/image54.jpeg"/><Relationship Id="rId14" Type="http://schemas.openxmlformats.org/officeDocument/2006/relationships/image" Target="../media/image59.jpeg"/><Relationship Id="rId22" Type="http://schemas.openxmlformats.org/officeDocument/2006/relationships/image" Target="../media/image67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0.jpeg"/><Relationship Id="rId7" Type="http://schemas.openxmlformats.org/officeDocument/2006/relationships/image" Target="../media/image74.jpeg"/><Relationship Id="rId2" Type="http://schemas.openxmlformats.org/officeDocument/2006/relationships/image" Target="../media/image69.jpeg"/><Relationship Id="rId1" Type="http://schemas.openxmlformats.org/officeDocument/2006/relationships/image" Target="../media/image68.jpeg"/><Relationship Id="rId6" Type="http://schemas.openxmlformats.org/officeDocument/2006/relationships/image" Target="../media/image73.jpeg"/><Relationship Id="rId5" Type="http://schemas.openxmlformats.org/officeDocument/2006/relationships/image" Target="../media/image72.jpeg"/><Relationship Id="rId4" Type="http://schemas.openxmlformats.org/officeDocument/2006/relationships/image" Target="../media/image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9</xdr:row>
      <xdr:rowOff>30480</xdr:rowOff>
    </xdr:from>
    <xdr:to>
      <xdr:col>3</xdr:col>
      <xdr:colOff>975360</xdr:colOff>
      <xdr:row>13</xdr:row>
      <xdr:rowOff>15240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9912A8-8557-58F5-963F-BA8CAC8AD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0280" y="1737360"/>
          <a:ext cx="746760" cy="746760"/>
        </a:xfrm>
        <a:prstGeom prst="rect">
          <a:avLst/>
        </a:prstGeom>
      </xdr:spPr>
    </xdr:pic>
    <xdr:clientData/>
  </xdr:twoCellAnchor>
  <xdr:twoCellAnchor editAs="oneCell">
    <xdr:from>
      <xdr:col>3</xdr:col>
      <xdr:colOff>165240</xdr:colOff>
      <xdr:row>3</xdr:row>
      <xdr:rowOff>12840</xdr:rowOff>
    </xdr:from>
    <xdr:to>
      <xdr:col>3</xdr:col>
      <xdr:colOff>1065240</xdr:colOff>
      <xdr:row>7</xdr:row>
      <xdr:rowOff>150840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AF6996-FE01-5838-852C-F56B0B82C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6920" y="576720"/>
          <a:ext cx="900000" cy="9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184150</xdr:colOff>
      <xdr:row>18</xdr:row>
      <xdr:rowOff>12701</xdr:rowOff>
    </xdr:from>
    <xdr:to>
      <xdr:col>3</xdr:col>
      <xdr:colOff>1084150</xdr:colOff>
      <xdr:row>21</xdr:row>
      <xdr:rowOff>176670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BA70AB-70E9-4BFC-871F-90E95E147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3454401"/>
          <a:ext cx="900000" cy="735469"/>
        </a:xfrm>
        <a:prstGeom prst="rect">
          <a:avLst/>
        </a:prstGeom>
      </xdr:spPr>
    </xdr:pic>
    <xdr:clientData/>
  </xdr:twoCellAnchor>
  <xdr:twoCellAnchor editAs="oneCell">
    <xdr:from>
      <xdr:col>3</xdr:col>
      <xdr:colOff>260350</xdr:colOff>
      <xdr:row>24</xdr:row>
      <xdr:rowOff>19050</xdr:rowOff>
    </xdr:from>
    <xdr:to>
      <xdr:col>3</xdr:col>
      <xdr:colOff>895350</xdr:colOff>
      <xdr:row>27</xdr:row>
      <xdr:rowOff>82550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D21A36-9679-4929-A28B-62C6F4971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4603750"/>
          <a:ext cx="635000" cy="635000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33</xdr:row>
      <xdr:rowOff>31750</xdr:rowOff>
    </xdr:from>
    <xdr:to>
      <xdr:col>3</xdr:col>
      <xdr:colOff>869950</xdr:colOff>
      <xdr:row>35</xdr:row>
      <xdr:rowOff>144575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7A44CE-C5B5-4A46-274C-44B00E0BE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3300" y="6350000"/>
          <a:ext cx="622300" cy="493825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40</xdr:row>
      <xdr:rowOff>25400</xdr:rowOff>
    </xdr:from>
    <xdr:to>
      <xdr:col>3</xdr:col>
      <xdr:colOff>958850</xdr:colOff>
      <xdr:row>42</xdr:row>
      <xdr:rowOff>129331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A892E3-C8B7-BEC3-885E-184EAB635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0" y="7696200"/>
          <a:ext cx="730250" cy="484931"/>
        </a:xfrm>
        <a:prstGeom prst="rect">
          <a:avLst/>
        </a:prstGeom>
      </xdr:spPr>
    </xdr:pic>
    <xdr:clientData/>
  </xdr:twoCellAnchor>
  <xdr:twoCellAnchor editAs="oneCell">
    <xdr:from>
      <xdr:col>3</xdr:col>
      <xdr:colOff>372250</xdr:colOff>
      <xdr:row>47</xdr:row>
      <xdr:rowOff>16650</xdr:rowOff>
    </xdr:from>
    <xdr:to>
      <xdr:col>3</xdr:col>
      <xdr:colOff>971550</xdr:colOff>
      <xdr:row>50</xdr:row>
      <xdr:rowOff>44450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19FD571-FE06-ADF8-ECBE-D8D3182D5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900" y="9040000"/>
          <a:ext cx="599300" cy="599300"/>
        </a:xfrm>
        <a:prstGeom prst="rect">
          <a:avLst/>
        </a:prstGeom>
      </xdr:spPr>
    </xdr:pic>
    <xdr:clientData/>
  </xdr:twoCellAnchor>
  <xdr:twoCellAnchor editAs="oneCell">
    <xdr:from>
      <xdr:col>3</xdr:col>
      <xdr:colOff>374650</xdr:colOff>
      <xdr:row>51</xdr:row>
      <xdr:rowOff>19050</xdr:rowOff>
    </xdr:from>
    <xdr:to>
      <xdr:col>3</xdr:col>
      <xdr:colOff>973950</xdr:colOff>
      <xdr:row>54</xdr:row>
      <xdr:rowOff>46850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333EDC-921C-4EC7-B0EB-64681FD03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9804400"/>
          <a:ext cx="599300" cy="599300"/>
        </a:xfrm>
        <a:prstGeom prst="rect">
          <a:avLst/>
        </a:prstGeom>
      </xdr:spPr>
    </xdr:pic>
    <xdr:clientData/>
  </xdr:twoCellAnchor>
  <xdr:twoCellAnchor editAs="oneCell">
    <xdr:from>
      <xdr:col>3</xdr:col>
      <xdr:colOff>203200</xdr:colOff>
      <xdr:row>55</xdr:row>
      <xdr:rowOff>31751</xdr:rowOff>
    </xdr:from>
    <xdr:to>
      <xdr:col>3</xdr:col>
      <xdr:colOff>1103200</xdr:colOff>
      <xdr:row>57</xdr:row>
      <xdr:rowOff>168196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5CD86C2-57A5-6554-30C4-04895CEA2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62" t="33396" r="22465" b="37608"/>
        <a:stretch>
          <a:fillRect/>
        </a:stretch>
      </xdr:blipFill>
      <xdr:spPr>
        <a:xfrm>
          <a:off x="2228850" y="10579101"/>
          <a:ext cx="900000" cy="517445"/>
        </a:xfrm>
        <a:prstGeom prst="rect">
          <a:avLst/>
        </a:prstGeom>
      </xdr:spPr>
    </xdr:pic>
    <xdr:clientData/>
  </xdr:twoCellAnchor>
  <xdr:twoCellAnchor editAs="oneCell">
    <xdr:from>
      <xdr:col>3</xdr:col>
      <xdr:colOff>203201</xdr:colOff>
      <xdr:row>65</xdr:row>
      <xdr:rowOff>69850</xdr:rowOff>
    </xdr:from>
    <xdr:to>
      <xdr:col>3</xdr:col>
      <xdr:colOff>1085057</xdr:colOff>
      <xdr:row>69</xdr:row>
      <xdr:rowOff>69850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73B6B5C-05C7-D82E-E2EA-8722B5E752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27" t="29999" r="11331" b="22406"/>
        <a:stretch>
          <a:fillRect/>
        </a:stretch>
      </xdr:blipFill>
      <xdr:spPr>
        <a:xfrm>
          <a:off x="2228851" y="12541250"/>
          <a:ext cx="881856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107950</xdr:colOff>
      <xdr:row>75</xdr:row>
      <xdr:rowOff>50800</xdr:rowOff>
    </xdr:from>
    <xdr:to>
      <xdr:col>3</xdr:col>
      <xdr:colOff>1007950</xdr:colOff>
      <xdr:row>78</xdr:row>
      <xdr:rowOff>28441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BC214C7-3C72-F08B-63BB-F8F50ECED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4446250"/>
          <a:ext cx="900000" cy="5491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53340</xdr:rowOff>
    </xdr:from>
    <xdr:to>
      <xdr:col>3</xdr:col>
      <xdr:colOff>938100</xdr:colOff>
      <xdr:row>7</xdr:row>
      <xdr:rowOff>59820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4DC4B2-18BD-4204-A6B8-537C7FB58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617220"/>
          <a:ext cx="900000" cy="78372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15</xdr:row>
      <xdr:rowOff>15240</xdr:rowOff>
    </xdr:from>
    <xdr:to>
      <xdr:col>3</xdr:col>
      <xdr:colOff>868680</xdr:colOff>
      <xdr:row>18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11E517-3E1A-463B-5DB9-74CEEDDE4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2933700"/>
          <a:ext cx="678180" cy="678180"/>
        </a:xfrm>
        <a:prstGeom prst="rect">
          <a:avLst/>
        </a:prstGeom>
      </xdr:spPr>
    </xdr:pic>
    <xdr:clientData/>
  </xdr:twoCellAnchor>
  <xdr:twoCellAnchor editAs="oneCell">
    <xdr:from>
      <xdr:col>3</xdr:col>
      <xdr:colOff>203200</xdr:colOff>
      <xdr:row>23</xdr:row>
      <xdr:rowOff>38100</xdr:rowOff>
    </xdr:from>
    <xdr:to>
      <xdr:col>3</xdr:col>
      <xdr:colOff>787400</xdr:colOff>
      <xdr:row>26</xdr:row>
      <xdr:rowOff>44450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23C86B-8ED7-4B1B-8552-4CD1D1C12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0" y="4483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177800</xdr:colOff>
      <xdr:row>31</xdr:row>
      <xdr:rowOff>25400</xdr:rowOff>
    </xdr:from>
    <xdr:to>
      <xdr:col>3</xdr:col>
      <xdr:colOff>825500</xdr:colOff>
      <xdr:row>34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41D5E8-559B-65E9-0C64-9E5522A5F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6600" y="6019800"/>
          <a:ext cx="647700" cy="647700"/>
        </a:xfrm>
        <a:prstGeom prst="rect">
          <a:avLst/>
        </a:prstGeom>
      </xdr:spPr>
    </xdr:pic>
    <xdr:clientData/>
  </xdr:twoCellAnchor>
  <xdr:twoCellAnchor editAs="oneCell">
    <xdr:from>
      <xdr:col>3</xdr:col>
      <xdr:colOff>69850</xdr:colOff>
      <xdr:row>43</xdr:row>
      <xdr:rowOff>25401</xdr:rowOff>
    </xdr:from>
    <xdr:to>
      <xdr:col>3</xdr:col>
      <xdr:colOff>969850</xdr:colOff>
      <xdr:row>47</xdr:row>
      <xdr:rowOff>169288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062B84-205F-6DEE-2687-0157B3377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56" t="26542" r="16500" b="15750"/>
        <a:stretch>
          <a:fillRect/>
        </a:stretch>
      </xdr:blipFill>
      <xdr:spPr>
        <a:xfrm>
          <a:off x="1898650" y="8343901"/>
          <a:ext cx="900000" cy="905887"/>
        </a:xfrm>
        <a:prstGeom prst="rect">
          <a:avLst/>
        </a:prstGeom>
      </xdr:spPr>
    </xdr:pic>
    <xdr:clientData/>
  </xdr:twoCellAnchor>
  <xdr:twoCellAnchor editAs="oneCell">
    <xdr:from>
      <xdr:col>3</xdr:col>
      <xdr:colOff>165100</xdr:colOff>
      <xdr:row>53</xdr:row>
      <xdr:rowOff>25400</xdr:rowOff>
    </xdr:from>
    <xdr:to>
      <xdr:col>3</xdr:col>
      <xdr:colOff>831850</xdr:colOff>
      <xdr:row>56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A7F373-740C-FD9E-3ECB-20ACBECEA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3900" y="10274300"/>
          <a:ext cx="666750" cy="666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182880</xdr:colOff>
      <xdr:row>9</xdr:row>
      <xdr:rowOff>45721</xdr:rowOff>
    </xdr:from>
    <xdr:ext cx="900000" cy="554063"/>
    <xdr:pic>
      <xdr:nvPicPr>
        <xdr:cNvPr id="2" name="Picture 1">
          <a:extLst>
            <a:ext uri="{FF2B5EF4-FFF2-40B4-BE49-F238E27FC236}">
              <a16:creationId xmlns:a16="http://schemas.microsoft.com/office/drawing/2014/main" id="{4782E8F8-6178-4D58-B983-5B7156B24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0" y="9563101"/>
          <a:ext cx="900000" cy="554063"/>
        </a:xfrm>
        <a:prstGeom prst="rect">
          <a:avLst/>
        </a:prstGeom>
      </xdr:spPr>
    </xdr:pic>
    <xdr:clientData/>
  </xdr:oneCellAnchor>
  <xdr:twoCellAnchor editAs="oneCell">
    <xdr:from>
      <xdr:col>3</xdr:col>
      <xdr:colOff>99060</xdr:colOff>
      <xdr:row>17</xdr:row>
      <xdr:rowOff>45720</xdr:rowOff>
    </xdr:from>
    <xdr:to>
      <xdr:col>3</xdr:col>
      <xdr:colOff>1190229</xdr:colOff>
      <xdr:row>21</xdr:row>
      <xdr:rowOff>45720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41F126-7F20-1190-B4F5-6FB3679059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812" b="12812"/>
        <a:stretch>
          <a:fillRect/>
        </a:stretch>
      </xdr:blipFill>
      <xdr:spPr>
        <a:xfrm>
          <a:off x="1943100" y="3299460"/>
          <a:ext cx="1091169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3</xdr:row>
      <xdr:rowOff>15241</xdr:rowOff>
    </xdr:from>
    <xdr:to>
      <xdr:col>3</xdr:col>
      <xdr:colOff>933275</xdr:colOff>
      <xdr:row>7</xdr:row>
      <xdr:rowOff>91441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18F414-F7D9-1C29-CFEB-E2A6F9CAA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8840" y="579121"/>
          <a:ext cx="628475" cy="838200"/>
        </a:xfrm>
        <a:prstGeom prst="rect">
          <a:avLst/>
        </a:prstGeom>
      </xdr:spPr>
    </xdr:pic>
    <xdr:clientData/>
  </xdr:twoCellAnchor>
  <xdr:twoCellAnchor editAs="oneCell">
    <xdr:from>
      <xdr:col>3</xdr:col>
      <xdr:colOff>205740</xdr:colOff>
      <xdr:row>22</xdr:row>
      <xdr:rowOff>0</xdr:rowOff>
    </xdr:from>
    <xdr:to>
      <xdr:col>3</xdr:col>
      <xdr:colOff>1013460</xdr:colOff>
      <xdr:row>26</xdr:row>
      <xdr:rowOff>45720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F4EA4C-6ADF-929F-05E9-D2E4B14BF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9780" y="4206240"/>
          <a:ext cx="807720" cy="807720"/>
        </a:xfrm>
        <a:prstGeom prst="rect">
          <a:avLst/>
        </a:prstGeom>
      </xdr:spPr>
    </xdr:pic>
    <xdr:clientData/>
  </xdr:twoCellAnchor>
  <xdr:twoCellAnchor editAs="oneCell">
    <xdr:from>
      <xdr:col>3</xdr:col>
      <xdr:colOff>129540</xdr:colOff>
      <xdr:row>31</xdr:row>
      <xdr:rowOff>45720</xdr:rowOff>
    </xdr:from>
    <xdr:to>
      <xdr:col>3</xdr:col>
      <xdr:colOff>998220</xdr:colOff>
      <xdr:row>34</xdr:row>
      <xdr:rowOff>90463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F9EBA0-4CEC-249E-38BD-2A538A1096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84" t="30313" r="11166" b="33375"/>
        <a:stretch>
          <a:fillRect/>
        </a:stretch>
      </xdr:blipFill>
      <xdr:spPr>
        <a:xfrm>
          <a:off x="1973580" y="5989320"/>
          <a:ext cx="868680" cy="616243"/>
        </a:xfrm>
        <a:prstGeom prst="rect">
          <a:avLst/>
        </a:prstGeom>
      </xdr:spPr>
    </xdr:pic>
    <xdr:clientData/>
  </xdr:twoCellAnchor>
  <xdr:twoCellAnchor editAs="oneCell">
    <xdr:from>
      <xdr:col>3</xdr:col>
      <xdr:colOff>53341</xdr:colOff>
      <xdr:row>35</xdr:row>
      <xdr:rowOff>15239</xdr:rowOff>
    </xdr:from>
    <xdr:to>
      <xdr:col>3</xdr:col>
      <xdr:colOff>1149776</xdr:colOff>
      <xdr:row>38</xdr:row>
      <xdr:rowOff>53340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0347769-087A-21B3-BF5F-AE6160FE3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30" t="38036" r="10955" b="32196"/>
        <a:stretch>
          <a:fillRect/>
        </a:stretch>
      </xdr:blipFill>
      <xdr:spPr>
        <a:xfrm>
          <a:off x="1897381" y="6720839"/>
          <a:ext cx="1096435" cy="609601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39</xdr:row>
      <xdr:rowOff>15241</xdr:rowOff>
    </xdr:from>
    <xdr:to>
      <xdr:col>3</xdr:col>
      <xdr:colOff>1082040</xdr:colOff>
      <xdr:row>42</xdr:row>
      <xdr:rowOff>43281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7195D16-B863-C076-A5F1-CF5CDE7C71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43" t="33057" r="10659" b="34158"/>
        <a:stretch>
          <a:fillRect/>
        </a:stretch>
      </xdr:blipFill>
      <xdr:spPr>
        <a:xfrm>
          <a:off x="1920241" y="7482841"/>
          <a:ext cx="1005839" cy="599540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177800</xdr:colOff>
      <xdr:row>48</xdr:row>
      <xdr:rowOff>44450</xdr:rowOff>
    </xdr:from>
    <xdr:to>
      <xdr:col>3</xdr:col>
      <xdr:colOff>1077800</xdr:colOff>
      <xdr:row>49</xdr:row>
      <xdr:rowOff>143637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4FE98B-22D1-4076-AC30-0D632DE5F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0" y="9239250"/>
          <a:ext cx="900000" cy="289687"/>
        </a:xfrm>
        <a:prstGeom prst="rect">
          <a:avLst/>
        </a:prstGeom>
      </xdr:spPr>
    </xdr:pic>
    <xdr:clientData/>
  </xdr:twoCellAnchor>
  <xdr:twoCellAnchor editAs="oneCell">
    <xdr:from>
      <xdr:col>3</xdr:col>
      <xdr:colOff>336550</xdr:colOff>
      <xdr:row>58</xdr:row>
      <xdr:rowOff>38100</xdr:rowOff>
    </xdr:from>
    <xdr:to>
      <xdr:col>3</xdr:col>
      <xdr:colOff>854392</xdr:colOff>
      <xdr:row>61</xdr:row>
      <xdr:rowOff>177800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0BF0C3C-AC9A-4A2F-A32C-8A7F83FA8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11137900"/>
          <a:ext cx="517842" cy="711200"/>
        </a:xfrm>
        <a:prstGeom prst="rect">
          <a:avLst/>
        </a:prstGeom>
      </xdr:spPr>
    </xdr:pic>
    <xdr:clientData/>
  </xdr:twoCellAnchor>
  <xdr:twoCellAnchor editAs="oneCell">
    <xdr:from>
      <xdr:col>3</xdr:col>
      <xdr:colOff>184150</xdr:colOff>
      <xdr:row>51</xdr:row>
      <xdr:rowOff>38100</xdr:rowOff>
    </xdr:from>
    <xdr:to>
      <xdr:col>3</xdr:col>
      <xdr:colOff>1084150</xdr:colOff>
      <xdr:row>54</xdr:row>
      <xdr:rowOff>102928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9087BEE-BF22-4A2C-9304-3D7A8278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9804400"/>
          <a:ext cx="900000" cy="636328"/>
        </a:xfrm>
        <a:prstGeom prst="rect">
          <a:avLst/>
        </a:prstGeom>
      </xdr:spPr>
    </xdr:pic>
    <xdr:clientData/>
  </xdr:twoCellAnchor>
  <xdr:twoCellAnchor editAs="oneCell">
    <xdr:from>
      <xdr:col>3</xdr:col>
      <xdr:colOff>139700</xdr:colOff>
      <xdr:row>72</xdr:row>
      <xdr:rowOff>31751</xdr:rowOff>
    </xdr:from>
    <xdr:to>
      <xdr:col>3</xdr:col>
      <xdr:colOff>1039700</xdr:colOff>
      <xdr:row>75</xdr:row>
      <xdr:rowOff>105720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3AFADDD-B9F9-9381-0345-5406C5884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3900" y="13811251"/>
          <a:ext cx="900000" cy="645469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66</xdr:row>
      <xdr:rowOff>19050</xdr:rowOff>
    </xdr:from>
    <xdr:to>
      <xdr:col>3</xdr:col>
      <xdr:colOff>1052400</xdr:colOff>
      <xdr:row>70</xdr:row>
      <xdr:rowOff>184150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18A3547-58DA-43C4-3ADE-B3888023E5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533"/>
        <a:stretch>
          <a:fillRect/>
        </a:stretch>
      </xdr:blipFill>
      <xdr:spPr>
        <a:xfrm>
          <a:off x="2006600" y="12661900"/>
          <a:ext cx="900000" cy="927100"/>
        </a:xfrm>
        <a:prstGeom prst="rect">
          <a:avLst/>
        </a:prstGeom>
      </xdr:spPr>
    </xdr:pic>
    <xdr:clientData/>
  </xdr:twoCellAnchor>
  <xdr:oneCellAnchor>
    <xdr:from>
      <xdr:col>3</xdr:col>
      <xdr:colOff>184150</xdr:colOff>
      <xdr:row>93</xdr:row>
      <xdr:rowOff>38100</xdr:rowOff>
    </xdr:from>
    <xdr:ext cx="900000" cy="636328"/>
    <xdr:pic>
      <xdr:nvPicPr>
        <xdr:cNvPr id="16" name="Picture 15">
          <a:extLst>
            <a:ext uri="{FF2B5EF4-FFF2-40B4-BE49-F238E27FC236}">
              <a16:creationId xmlns:a16="http://schemas.microsoft.com/office/drawing/2014/main" id="{487F5297-B323-4C7E-A97A-59F5C4975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15741650"/>
          <a:ext cx="900000" cy="636328"/>
        </a:xfrm>
        <a:prstGeom prst="rect">
          <a:avLst/>
        </a:prstGeom>
      </xdr:spPr>
    </xdr:pic>
    <xdr:clientData/>
  </xdr:oneCellAnchor>
  <xdr:twoCellAnchor editAs="oneCell">
    <xdr:from>
      <xdr:col>3</xdr:col>
      <xdr:colOff>389750</xdr:colOff>
      <xdr:row>82</xdr:row>
      <xdr:rowOff>12700</xdr:rowOff>
    </xdr:from>
    <xdr:to>
      <xdr:col>3</xdr:col>
      <xdr:colOff>885050</xdr:colOff>
      <xdr:row>84</xdr:row>
      <xdr:rowOff>127000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0F786E7-9491-4EAA-9E49-968389E59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3950" y="157162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3</xdr:col>
      <xdr:colOff>387350</xdr:colOff>
      <xdr:row>85</xdr:row>
      <xdr:rowOff>10300</xdr:rowOff>
    </xdr:from>
    <xdr:to>
      <xdr:col>3</xdr:col>
      <xdr:colOff>891400</xdr:colOff>
      <xdr:row>87</xdr:row>
      <xdr:rowOff>133350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EB656BB-CDB7-444A-8921-3FFC1F772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550" y="16285350"/>
          <a:ext cx="504050" cy="5040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184150</xdr:colOff>
      <xdr:row>97</xdr:row>
      <xdr:rowOff>38100</xdr:rowOff>
    </xdr:from>
    <xdr:to>
      <xdr:col>3</xdr:col>
      <xdr:colOff>1084150</xdr:colOff>
      <xdr:row>101</xdr:row>
      <xdr:rowOff>176100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FFD4368-32F1-AF57-4089-DA20DCC84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18618200"/>
          <a:ext cx="900000" cy="9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215900</xdr:colOff>
      <xdr:row>108</xdr:row>
      <xdr:rowOff>31750</xdr:rowOff>
    </xdr:from>
    <xdr:to>
      <xdr:col>3</xdr:col>
      <xdr:colOff>1115900</xdr:colOff>
      <xdr:row>111</xdr:row>
      <xdr:rowOff>159994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EF368AC-45AE-3A4B-D164-93313519C7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596"/>
        <a:stretch>
          <a:fillRect/>
        </a:stretch>
      </xdr:blipFill>
      <xdr:spPr>
        <a:xfrm>
          <a:off x="2070100" y="20726400"/>
          <a:ext cx="900000" cy="699744"/>
        </a:xfrm>
        <a:prstGeom prst="rect">
          <a:avLst/>
        </a:prstGeom>
      </xdr:spPr>
    </xdr:pic>
    <xdr:clientData/>
  </xdr:twoCellAnchor>
  <xdr:twoCellAnchor editAs="oneCell">
    <xdr:from>
      <xdr:col>3</xdr:col>
      <xdr:colOff>330200</xdr:colOff>
      <xdr:row>117</xdr:row>
      <xdr:rowOff>25400</xdr:rowOff>
    </xdr:from>
    <xdr:to>
      <xdr:col>3</xdr:col>
      <xdr:colOff>1054100</xdr:colOff>
      <xdr:row>120</xdr:row>
      <xdr:rowOff>177800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A30F13B-481A-347C-A117-AF9988B4E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4400" y="2245360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302400</xdr:colOff>
      <xdr:row>122</xdr:row>
      <xdr:rowOff>16650</xdr:rowOff>
    </xdr:from>
    <xdr:to>
      <xdr:col>3</xdr:col>
      <xdr:colOff>990600</xdr:colOff>
      <xdr:row>125</xdr:row>
      <xdr:rowOff>133350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B6D88F7-98FA-6929-17A3-7D224D160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600" y="23403700"/>
          <a:ext cx="688200" cy="688200"/>
        </a:xfrm>
        <a:prstGeom prst="rect">
          <a:avLst/>
        </a:prstGeom>
      </xdr:spPr>
    </xdr:pic>
    <xdr:clientData/>
  </xdr:twoCellAnchor>
  <xdr:twoCellAnchor editAs="oneCell">
    <xdr:from>
      <xdr:col>3</xdr:col>
      <xdr:colOff>325400</xdr:colOff>
      <xdr:row>127</xdr:row>
      <xdr:rowOff>26950</xdr:rowOff>
    </xdr:from>
    <xdr:to>
      <xdr:col>3</xdr:col>
      <xdr:colOff>1016000</xdr:colOff>
      <xdr:row>130</xdr:row>
      <xdr:rowOff>146050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6DB6412-5268-C492-837A-7DEA79CA4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9600" y="24372850"/>
          <a:ext cx="690600" cy="690600"/>
        </a:xfrm>
        <a:prstGeom prst="rect">
          <a:avLst/>
        </a:prstGeom>
      </xdr:spPr>
    </xdr:pic>
    <xdr:clientData/>
  </xdr:twoCellAnchor>
  <xdr:twoCellAnchor editAs="oneCell">
    <xdr:from>
      <xdr:col>3</xdr:col>
      <xdr:colOff>199250</xdr:colOff>
      <xdr:row>132</xdr:row>
      <xdr:rowOff>25400</xdr:rowOff>
    </xdr:from>
    <xdr:to>
      <xdr:col>3</xdr:col>
      <xdr:colOff>1099250</xdr:colOff>
      <xdr:row>136</xdr:row>
      <xdr:rowOff>163400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9C5942-DD4F-4111-AF7F-D0CF753EA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3450" y="25311100"/>
          <a:ext cx="900000" cy="9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222250</xdr:colOff>
      <xdr:row>137</xdr:row>
      <xdr:rowOff>35700</xdr:rowOff>
    </xdr:from>
    <xdr:to>
      <xdr:col>3</xdr:col>
      <xdr:colOff>1122250</xdr:colOff>
      <xdr:row>141</xdr:row>
      <xdr:rowOff>173700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31D564-8A9D-4BD9-9443-43902D67C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26273900"/>
          <a:ext cx="900000" cy="9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146051</xdr:colOff>
      <xdr:row>147</xdr:row>
      <xdr:rowOff>50800</xdr:rowOff>
    </xdr:from>
    <xdr:to>
      <xdr:col>3</xdr:col>
      <xdr:colOff>1149350</xdr:colOff>
      <xdr:row>150</xdr:row>
      <xdr:rowOff>35572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20C2DAD-F1B8-EA9C-E011-775F748B44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15" t="47655" r="20724" b="29271"/>
        <a:stretch>
          <a:fillRect/>
        </a:stretch>
      </xdr:blipFill>
      <xdr:spPr>
        <a:xfrm>
          <a:off x="2000251" y="28213050"/>
          <a:ext cx="1003299" cy="556272"/>
        </a:xfrm>
        <a:prstGeom prst="rect">
          <a:avLst/>
        </a:prstGeom>
      </xdr:spPr>
    </xdr:pic>
    <xdr:clientData/>
  </xdr:twoCellAnchor>
  <xdr:oneCellAnchor>
    <xdr:from>
      <xdr:col>3</xdr:col>
      <xdr:colOff>317501</xdr:colOff>
      <xdr:row>158</xdr:row>
      <xdr:rowOff>25400</xdr:rowOff>
    </xdr:from>
    <xdr:ext cx="566077" cy="723900"/>
    <xdr:pic>
      <xdr:nvPicPr>
        <xdr:cNvPr id="15" name="Picture 14">
          <a:extLst>
            <a:ext uri="{FF2B5EF4-FFF2-40B4-BE49-F238E27FC236}">
              <a16:creationId xmlns:a16="http://schemas.microsoft.com/office/drawing/2014/main" id="{9467587A-7AF8-47C1-B67C-DA69BB8EA4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94" t="25156" r="16527" b="17031"/>
        <a:stretch>
          <a:fillRect/>
        </a:stretch>
      </xdr:blipFill>
      <xdr:spPr>
        <a:xfrm>
          <a:off x="2171701" y="30283150"/>
          <a:ext cx="566077" cy="723900"/>
        </a:xfrm>
        <a:prstGeom prst="rect">
          <a:avLst/>
        </a:prstGeom>
      </xdr:spPr>
    </xdr:pic>
    <xdr:clientData/>
  </xdr:oneCellAnchor>
  <xdr:twoCellAnchor editAs="oneCell">
    <xdr:from>
      <xdr:col>3</xdr:col>
      <xdr:colOff>184150</xdr:colOff>
      <xdr:row>151</xdr:row>
      <xdr:rowOff>38100</xdr:rowOff>
    </xdr:from>
    <xdr:to>
      <xdr:col>3</xdr:col>
      <xdr:colOff>1084150</xdr:colOff>
      <xdr:row>153</xdr:row>
      <xdr:rowOff>153506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79E3791-9B4E-8619-3CCC-66AFA770D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28962350"/>
          <a:ext cx="900000" cy="496406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155</xdr:row>
      <xdr:rowOff>38100</xdr:rowOff>
    </xdr:from>
    <xdr:to>
      <xdr:col>3</xdr:col>
      <xdr:colOff>1109550</xdr:colOff>
      <xdr:row>156</xdr:row>
      <xdr:rowOff>127444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28B771D-B349-9883-7587-74BAE0902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0" y="29724350"/>
          <a:ext cx="900000" cy="279844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167</xdr:row>
      <xdr:rowOff>12700</xdr:rowOff>
    </xdr:from>
    <xdr:to>
      <xdr:col>3</xdr:col>
      <xdr:colOff>984250</xdr:colOff>
      <xdr:row>170</xdr:row>
      <xdr:rowOff>101600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EC721A9-A3FB-C076-3581-9028467C7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8050" y="32004000"/>
          <a:ext cx="660400" cy="660400"/>
        </a:xfrm>
        <a:prstGeom prst="rect">
          <a:avLst/>
        </a:prstGeom>
      </xdr:spPr>
    </xdr:pic>
    <xdr:clientData/>
  </xdr:twoCellAnchor>
  <xdr:twoCellAnchor editAs="oneCell">
    <xdr:from>
      <xdr:col>3</xdr:col>
      <xdr:colOff>26190</xdr:colOff>
      <xdr:row>185</xdr:row>
      <xdr:rowOff>5564</xdr:rowOff>
    </xdr:from>
    <xdr:to>
      <xdr:col>3</xdr:col>
      <xdr:colOff>1220010</xdr:colOff>
      <xdr:row>188</xdr:row>
      <xdr:rowOff>158750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7E580B9-5DC3-36DB-61E4-46A4A5C1A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114957" y="35223047"/>
          <a:ext cx="724686" cy="1193820"/>
        </a:xfrm>
        <a:prstGeom prst="rect">
          <a:avLst/>
        </a:prstGeom>
      </xdr:spPr>
    </xdr:pic>
    <xdr:clientData/>
  </xdr:twoCellAnchor>
  <xdr:twoCellAnchor editAs="oneCell">
    <xdr:from>
      <xdr:col>3</xdr:col>
      <xdr:colOff>273050</xdr:colOff>
      <xdr:row>175</xdr:row>
      <xdr:rowOff>6350</xdr:rowOff>
    </xdr:from>
    <xdr:to>
      <xdr:col>3</xdr:col>
      <xdr:colOff>1085850</xdr:colOff>
      <xdr:row>179</xdr:row>
      <xdr:rowOff>12807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4A5D3E6-1819-E9DB-6C80-9E5C39EF4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875" b="13217"/>
        <a:stretch>
          <a:fillRect/>
        </a:stretch>
      </xdr:blipFill>
      <xdr:spPr>
        <a:xfrm>
          <a:off x="2127250" y="33540700"/>
          <a:ext cx="812800" cy="768457"/>
        </a:xfrm>
        <a:prstGeom prst="rect">
          <a:avLst/>
        </a:prstGeom>
      </xdr:spPr>
    </xdr:pic>
    <xdr:clientData/>
  </xdr:twoCellAnchor>
  <xdr:twoCellAnchor editAs="oneCell">
    <xdr:from>
      <xdr:col>3</xdr:col>
      <xdr:colOff>355601</xdr:colOff>
      <xdr:row>180</xdr:row>
      <xdr:rowOff>12700</xdr:rowOff>
    </xdr:from>
    <xdr:to>
      <xdr:col>3</xdr:col>
      <xdr:colOff>984250</xdr:colOff>
      <xdr:row>184</xdr:row>
      <xdr:rowOff>39145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2C58613-7CF8-1FD1-01A7-F666D2352A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97" t="13958" r="13819" b="15886"/>
        <a:stretch>
          <a:fillRect/>
        </a:stretch>
      </xdr:blipFill>
      <xdr:spPr>
        <a:xfrm>
          <a:off x="2209801" y="34505900"/>
          <a:ext cx="628649" cy="7884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320041</xdr:colOff>
      <xdr:row>14</xdr:row>
      <xdr:rowOff>22860</xdr:rowOff>
    </xdr:from>
    <xdr:to>
      <xdr:col>3</xdr:col>
      <xdr:colOff>762000</xdr:colOff>
      <xdr:row>17</xdr:row>
      <xdr:rowOff>40639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F1C469F-4F50-4482-D1CA-7B15C7A7A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1" y="36614100"/>
          <a:ext cx="441959" cy="589279"/>
        </a:xfrm>
        <a:prstGeom prst="rect">
          <a:avLst/>
        </a:prstGeom>
      </xdr:spPr>
    </xdr:pic>
    <xdr:clientData/>
  </xdr:twoCellAnchor>
  <xdr:twoCellAnchor editAs="oneCell">
    <xdr:from>
      <xdr:col>3</xdr:col>
      <xdr:colOff>281940</xdr:colOff>
      <xdr:row>3</xdr:row>
      <xdr:rowOff>15240</xdr:rowOff>
    </xdr:from>
    <xdr:to>
      <xdr:col>3</xdr:col>
      <xdr:colOff>838200</xdr:colOff>
      <xdr:row>6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A7BB15F-300C-C730-546E-0706EF8DD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34510980"/>
          <a:ext cx="556260" cy="556260"/>
        </a:xfrm>
        <a:prstGeom prst="rect">
          <a:avLst/>
        </a:prstGeom>
      </xdr:spPr>
    </xdr:pic>
    <xdr:clientData/>
  </xdr:twoCellAnchor>
  <xdr:twoCellAnchor editAs="oneCell">
    <xdr:from>
      <xdr:col>3</xdr:col>
      <xdr:colOff>287160</xdr:colOff>
      <xdr:row>6</xdr:row>
      <xdr:rowOff>20460</xdr:rowOff>
    </xdr:from>
    <xdr:to>
      <xdr:col>3</xdr:col>
      <xdr:colOff>838200</xdr:colOff>
      <xdr:row>9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E7BFA8D-1337-B619-0F0F-8C013BCB1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020" y="35087700"/>
          <a:ext cx="551040" cy="551040"/>
        </a:xfrm>
        <a:prstGeom prst="rect">
          <a:avLst/>
        </a:prstGeom>
      </xdr:spPr>
    </xdr:pic>
    <xdr:clientData/>
  </xdr:twoCellAnchor>
  <xdr:twoCellAnchor editAs="oneCell">
    <xdr:from>
      <xdr:col>3</xdr:col>
      <xdr:colOff>251460</xdr:colOff>
      <xdr:row>23</xdr:row>
      <xdr:rowOff>15240</xdr:rowOff>
    </xdr:from>
    <xdr:to>
      <xdr:col>3</xdr:col>
      <xdr:colOff>906780</xdr:colOff>
      <xdr:row>26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1DFF4D-5A99-03A4-CCB6-EA2EE91F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9320" y="4411980"/>
          <a:ext cx="655320" cy="655320"/>
        </a:xfrm>
        <a:prstGeom prst="rect">
          <a:avLst/>
        </a:prstGeom>
      </xdr:spPr>
    </xdr:pic>
    <xdr:clientData/>
  </xdr:twoCellAnchor>
  <xdr:twoCellAnchor editAs="oneCell">
    <xdr:from>
      <xdr:col>3</xdr:col>
      <xdr:colOff>243840</xdr:colOff>
      <xdr:row>31</xdr:row>
      <xdr:rowOff>15240</xdr:rowOff>
    </xdr:from>
    <xdr:to>
      <xdr:col>3</xdr:col>
      <xdr:colOff>906780</xdr:colOff>
      <xdr:row>34</xdr:row>
      <xdr:rowOff>106680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59094F-E1DA-4056-879B-CBB237A37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5958840"/>
          <a:ext cx="662940" cy="662940"/>
        </a:xfrm>
        <a:prstGeom prst="rect">
          <a:avLst/>
        </a:prstGeom>
      </xdr:spPr>
    </xdr:pic>
    <xdr:clientData/>
  </xdr:twoCellAnchor>
  <xdr:twoCellAnchor editAs="oneCell">
    <xdr:from>
      <xdr:col>3</xdr:col>
      <xdr:colOff>251460</xdr:colOff>
      <xdr:row>35</xdr:row>
      <xdr:rowOff>182880</xdr:rowOff>
    </xdr:from>
    <xdr:to>
      <xdr:col>3</xdr:col>
      <xdr:colOff>807720</xdr:colOff>
      <xdr:row>38</xdr:row>
      <xdr:rowOff>167640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8C0E11-DD9E-C650-2600-36D6F5263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9320" y="6888480"/>
          <a:ext cx="556260" cy="556260"/>
        </a:xfrm>
        <a:prstGeom prst="rect">
          <a:avLst/>
        </a:prstGeom>
      </xdr:spPr>
    </xdr:pic>
    <xdr:clientData/>
  </xdr:twoCellAnchor>
  <xdr:twoCellAnchor editAs="oneCell">
    <xdr:from>
      <xdr:col>3</xdr:col>
      <xdr:colOff>243840</xdr:colOff>
      <xdr:row>39</xdr:row>
      <xdr:rowOff>15240</xdr:rowOff>
    </xdr:from>
    <xdr:to>
      <xdr:col>3</xdr:col>
      <xdr:colOff>845820</xdr:colOff>
      <xdr:row>42</xdr:row>
      <xdr:rowOff>45720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6A4639-D0D7-7BD8-F0F1-78BEA2813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5520" y="7482840"/>
          <a:ext cx="601980" cy="601980"/>
        </a:xfrm>
        <a:prstGeom prst="rect">
          <a:avLst/>
        </a:prstGeom>
      </xdr:spPr>
    </xdr:pic>
    <xdr:clientData/>
  </xdr:twoCellAnchor>
  <xdr:twoCellAnchor editAs="oneCell">
    <xdr:from>
      <xdr:col>3</xdr:col>
      <xdr:colOff>289560</xdr:colOff>
      <xdr:row>43</xdr:row>
      <xdr:rowOff>22860</xdr:rowOff>
    </xdr:from>
    <xdr:to>
      <xdr:col>3</xdr:col>
      <xdr:colOff>899160</xdr:colOff>
      <xdr:row>46</xdr:row>
      <xdr:rowOff>60960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D94204-46C5-6138-6095-6FE2850B2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240" y="825246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3</xdr:col>
      <xdr:colOff>292100</xdr:colOff>
      <xdr:row>52</xdr:row>
      <xdr:rowOff>0</xdr:rowOff>
    </xdr:from>
    <xdr:to>
      <xdr:col>3</xdr:col>
      <xdr:colOff>812800</xdr:colOff>
      <xdr:row>54</xdr:row>
      <xdr:rowOff>139700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2B7697-83AA-9C29-075D-EEF01D6A8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7750" y="9956800"/>
          <a:ext cx="520700" cy="520700"/>
        </a:xfrm>
        <a:prstGeom prst="rect">
          <a:avLst/>
        </a:prstGeom>
      </xdr:spPr>
    </xdr:pic>
    <xdr:clientData/>
  </xdr:twoCellAnchor>
  <xdr:twoCellAnchor editAs="oneCell">
    <xdr:from>
      <xdr:col>3</xdr:col>
      <xdr:colOff>241300</xdr:colOff>
      <xdr:row>56</xdr:row>
      <xdr:rowOff>6350</xdr:rowOff>
    </xdr:from>
    <xdr:to>
      <xdr:col>3</xdr:col>
      <xdr:colOff>825500</xdr:colOff>
      <xdr:row>59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707B7-84C9-4CC8-8B76-9EBC765EF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10731500"/>
          <a:ext cx="584200" cy="584200"/>
        </a:xfrm>
        <a:prstGeom prst="rect">
          <a:avLst/>
        </a:prstGeom>
      </xdr:spPr>
    </xdr:pic>
    <xdr:clientData/>
  </xdr:twoCellAnchor>
  <xdr:oneCellAnchor>
    <xdr:from>
      <xdr:col>3</xdr:col>
      <xdr:colOff>228600</xdr:colOff>
      <xdr:row>71</xdr:row>
      <xdr:rowOff>25400</xdr:rowOff>
    </xdr:from>
    <xdr:ext cx="679450" cy="679450"/>
    <xdr:pic>
      <xdr:nvPicPr>
        <xdr:cNvPr id="18" name="Picture 17">
          <a:extLst>
            <a:ext uri="{FF2B5EF4-FFF2-40B4-BE49-F238E27FC236}">
              <a16:creationId xmlns:a16="http://schemas.microsoft.com/office/drawing/2014/main" id="{8227EC4D-E53C-4B3D-84C7-4A6874D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0" y="13620750"/>
          <a:ext cx="679450" cy="679450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65</xdr:row>
      <xdr:rowOff>19050</xdr:rowOff>
    </xdr:from>
    <xdr:ext cx="711200" cy="711200"/>
    <xdr:pic>
      <xdr:nvPicPr>
        <xdr:cNvPr id="19" name="Picture 18">
          <a:extLst>
            <a:ext uri="{FF2B5EF4-FFF2-40B4-BE49-F238E27FC236}">
              <a16:creationId xmlns:a16="http://schemas.microsoft.com/office/drawing/2014/main" id="{20D03E51-CFF5-4F19-A088-C608BC836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0" y="12471400"/>
          <a:ext cx="711200" cy="711200"/>
        </a:xfrm>
        <a:prstGeom prst="rect">
          <a:avLst/>
        </a:prstGeom>
      </xdr:spPr>
    </xdr:pic>
    <xdr:clientData/>
  </xdr:oneCellAnchor>
  <xdr:oneCellAnchor>
    <xdr:from>
      <xdr:col>3</xdr:col>
      <xdr:colOff>234950</xdr:colOff>
      <xdr:row>76</xdr:row>
      <xdr:rowOff>19050</xdr:rowOff>
    </xdr:from>
    <xdr:ext cx="685800" cy="879936"/>
    <xdr:pic>
      <xdr:nvPicPr>
        <xdr:cNvPr id="20" name="Picture 19">
          <a:extLst>
            <a:ext uri="{FF2B5EF4-FFF2-40B4-BE49-F238E27FC236}">
              <a16:creationId xmlns:a16="http://schemas.microsoft.com/office/drawing/2014/main" id="{6F18498A-28E5-4992-AEED-0FBEDA61F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0600" y="14566900"/>
          <a:ext cx="685800" cy="879936"/>
        </a:xfrm>
        <a:prstGeom prst="rect">
          <a:avLst/>
        </a:prstGeom>
      </xdr:spPr>
    </xdr:pic>
    <xdr:clientData/>
  </xdr:oneCellAnchor>
  <xdr:twoCellAnchor editAs="oneCell">
    <xdr:from>
      <xdr:col>3</xdr:col>
      <xdr:colOff>234950</xdr:colOff>
      <xdr:row>86</xdr:row>
      <xdr:rowOff>12700</xdr:rowOff>
    </xdr:from>
    <xdr:to>
      <xdr:col>3</xdr:col>
      <xdr:colOff>857250</xdr:colOff>
      <xdr:row>89</xdr:row>
      <xdr:rowOff>63500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F1DAB09-E140-82FB-8BCE-2B6F0DAA2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0600" y="164846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3</xdr:col>
      <xdr:colOff>279400</xdr:colOff>
      <xdr:row>95</xdr:row>
      <xdr:rowOff>38100</xdr:rowOff>
    </xdr:from>
    <xdr:to>
      <xdr:col>3</xdr:col>
      <xdr:colOff>946150</xdr:colOff>
      <xdr:row>98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207D2DE-ED5E-6A65-0433-D85207759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182435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3</xdr:col>
      <xdr:colOff>241300</xdr:colOff>
      <xdr:row>100</xdr:row>
      <xdr:rowOff>44450</xdr:rowOff>
    </xdr:from>
    <xdr:to>
      <xdr:col>3</xdr:col>
      <xdr:colOff>882650</xdr:colOff>
      <xdr:row>103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09756E-A33A-43DB-96CE-29F91DF23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19202400"/>
          <a:ext cx="641350" cy="64135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254000</xdr:colOff>
      <xdr:row>119</xdr:row>
      <xdr:rowOff>25400</xdr:rowOff>
    </xdr:from>
    <xdr:to>
      <xdr:col>3</xdr:col>
      <xdr:colOff>857250</xdr:colOff>
      <xdr:row>122</xdr:row>
      <xdr:rowOff>57150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10F8F2E-4E29-9F2D-6927-D52901FDA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9650" y="20726400"/>
          <a:ext cx="603250" cy="603250"/>
        </a:xfrm>
        <a:prstGeom prst="rect">
          <a:avLst/>
        </a:prstGeom>
      </xdr:spPr>
    </xdr:pic>
    <xdr:clientData/>
  </xdr:twoCellAnchor>
  <xdr:twoCellAnchor editAs="oneCell">
    <xdr:from>
      <xdr:col>3</xdr:col>
      <xdr:colOff>245250</xdr:colOff>
      <xdr:row>123</xdr:row>
      <xdr:rowOff>23000</xdr:rowOff>
    </xdr:from>
    <xdr:to>
      <xdr:col>3</xdr:col>
      <xdr:colOff>958850</xdr:colOff>
      <xdr:row>126</xdr:row>
      <xdr:rowOff>165100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EC4FBE2-4BCD-9799-5F14-BE165A567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0900" y="21676500"/>
          <a:ext cx="713600" cy="713600"/>
        </a:xfrm>
        <a:prstGeom prst="rect">
          <a:avLst/>
        </a:prstGeom>
      </xdr:spPr>
    </xdr:pic>
    <xdr:clientData/>
  </xdr:twoCellAnchor>
  <xdr:oneCellAnchor>
    <xdr:from>
      <xdr:col>3</xdr:col>
      <xdr:colOff>152400</xdr:colOff>
      <xdr:row>108</xdr:row>
      <xdr:rowOff>44450</xdr:rowOff>
    </xdr:from>
    <xdr:ext cx="900000" cy="900000"/>
    <xdr:pic>
      <xdr:nvPicPr>
        <xdr:cNvPr id="11" name="Picture 10">
          <a:extLst>
            <a:ext uri="{FF2B5EF4-FFF2-40B4-BE49-F238E27FC236}">
              <a16:creationId xmlns:a16="http://schemas.microsoft.com/office/drawing/2014/main" id="{E35D3FB4-0216-4D49-A085-9F92B2368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8050" y="32461200"/>
          <a:ext cx="900000" cy="900000"/>
        </a:xfrm>
        <a:prstGeom prst="rect">
          <a:avLst/>
        </a:prstGeom>
      </xdr:spPr>
    </xdr:pic>
    <xdr:clientData/>
  </xdr:oneCellAnchor>
  <xdr:twoCellAnchor editAs="oneCell">
    <xdr:from>
      <xdr:col>3</xdr:col>
      <xdr:colOff>66677</xdr:colOff>
      <xdr:row>127</xdr:row>
      <xdr:rowOff>53976</xdr:rowOff>
    </xdr:from>
    <xdr:to>
      <xdr:col>3</xdr:col>
      <xdr:colOff>1117601</xdr:colOff>
      <xdr:row>128</xdr:row>
      <xdr:rowOff>79341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32E8585-56CE-1FAC-6F4C-17AE217326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665" t="13801" r="42974" b="16782"/>
        <a:stretch>
          <a:fillRect/>
        </a:stretch>
      </xdr:blipFill>
      <xdr:spPr>
        <a:xfrm rot="16200000">
          <a:off x="2509856" y="23956947"/>
          <a:ext cx="215865" cy="1050924"/>
        </a:xfrm>
        <a:prstGeom prst="rect">
          <a:avLst/>
        </a:prstGeom>
      </xdr:spPr>
    </xdr:pic>
    <xdr:clientData/>
  </xdr:twoCellAnchor>
  <xdr:twoCellAnchor editAs="oneCell">
    <xdr:from>
      <xdr:col>3</xdr:col>
      <xdr:colOff>311150</xdr:colOff>
      <xdr:row>130</xdr:row>
      <xdr:rowOff>25401</xdr:rowOff>
    </xdr:from>
    <xdr:to>
      <xdr:col>3</xdr:col>
      <xdr:colOff>857250</xdr:colOff>
      <xdr:row>133</xdr:row>
      <xdr:rowOff>183554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5BA3264-207E-7B92-7ED1-7778D3449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6800" y="24917401"/>
          <a:ext cx="546100" cy="729653"/>
        </a:xfrm>
        <a:prstGeom prst="rect">
          <a:avLst/>
        </a:prstGeom>
      </xdr:spPr>
    </xdr:pic>
    <xdr:clientData/>
  </xdr:twoCellAnchor>
  <xdr:twoCellAnchor editAs="oneCell">
    <xdr:from>
      <xdr:col>3</xdr:col>
      <xdr:colOff>292100</xdr:colOff>
      <xdr:row>139</xdr:row>
      <xdr:rowOff>19050</xdr:rowOff>
    </xdr:from>
    <xdr:to>
      <xdr:col>3</xdr:col>
      <xdr:colOff>939800</xdr:colOff>
      <xdr:row>142</xdr:row>
      <xdr:rowOff>95250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B24F581-2FDD-EEFE-4C39-CBD691643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7750" y="26644600"/>
          <a:ext cx="647700" cy="647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177801</xdr:colOff>
      <xdr:row>3</xdr:row>
      <xdr:rowOff>12700</xdr:rowOff>
    </xdr:from>
    <xdr:to>
      <xdr:col>3</xdr:col>
      <xdr:colOff>1035050</xdr:colOff>
      <xdr:row>6</xdr:row>
      <xdr:rowOff>31997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1BF867-0F3A-6826-70D1-7AC19B8A55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44" t="36614" r="7709" b="19271"/>
        <a:stretch>
          <a:fillRect/>
        </a:stretch>
      </xdr:blipFill>
      <xdr:spPr>
        <a:xfrm>
          <a:off x="2089151" y="577850"/>
          <a:ext cx="857249" cy="590797"/>
        </a:xfrm>
        <a:prstGeom prst="rect">
          <a:avLst/>
        </a:prstGeom>
      </xdr:spPr>
    </xdr:pic>
    <xdr:clientData/>
  </xdr:twoCellAnchor>
  <xdr:twoCellAnchor editAs="oneCell">
    <xdr:from>
      <xdr:col>3</xdr:col>
      <xdr:colOff>330200</xdr:colOff>
      <xdr:row>6</xdr:row>
      <xdr:rowOff>184150</xdr:rowOff>
    </xdr:from>
    <xdr:to>
      <xdr:col>3</xdr:col>
      <xdr:colOff>844550</xdr:colOff>
      <xdr:row>9</xdr:row>
      <xdr:rowOff>127000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48DE61-57DB-7575-56FF-BF6590EF5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550" y="132080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3</xdr:col>
      <xdr:colOff>346850</xdr:colOff>
      <xdr:row>10</xdr:row>
      <xdr:rowOff>3950</xdr:rowOff>
    </xdr:from>
    <xdr:to>
      <xdr:col>3</xdr:col>
      <xdr:colOff>825500</xdr:colOff>
      <xdr:row>12</xdr:row>
      <xdr:rowOff>101600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26F8C9-82BB-4DA1-76DD-ED0A72B35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200" y="1902600"/>
          <a:ext cx="478650" cy="478650"/>
        </a:xfrm>
        <a:prstGeom prst="rect">
          <a:avLst/>
        </a:prstGeom>
      </xdr:spPr>
    </xdr:pic>
    <xdr:clientData/>
  </xdr:twoCellAnchor>
  <xdr:twoCellAnchor editAs="oneCell">
    <xdr:from>
      <xdr:col>3</xdr:col>
      <xdr:colOff>325400</xdr:colOff>
      <xdr:row>13</xdr:row>
      <xdr:rowOff>20600</xdr:rowOff>
    </xdr:from>
    <xdr:to>
      <xdr:col>3</xdr:col>
      <xdr:colOff>869950</xdr:colOff>
      <xdr:row>15</xdr:row>
      <xdr:rowOff>184150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DDCC208-AFD9-3C38-5953-740F194D2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6750" y="2490750"/>
          <a:ext cx="544550" cy="54455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20</xdr:row>
      <xdr:rowOff>25400</xdr:rowOff>
    </xdr:from>
    <xdr:to>
      <xdr:col>3</xdr:col>
      <xdr:colOff>952500</xdr:colOff>
      <xdr:row>24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74E804-425E-1990-1D4E-91EE5FBB8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0900" y="3848100"/>
          <a:ext cx="742950" cy="742950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25</xdr:row>
      <xdr:rowOff>25400</xdr:rowOff>
    </xdr:from>
    <xdr:to>
      <xdr:col>3</xdr:col>
      <xdr:colOff>908050</xdr:colOff>
      <xdr:row>28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F05A75-FB3A-8ECB-6ACD-3A29AB97D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0" y="4800600"/>
          <a:ext cx="660400" cy="6604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33</xdr:row>
      <xdr:rowOff>25400</xdr:rowOff>
    </xdr:from>
    <xdr:to>
      <xdr:col>3</xdr:col>
      <xdr:colOff>1052400</xdr:colOff>
      <xdr:row>37</xdr:row>
      <xdr:rowOff>163400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84D8A9-EB75-DE39-96C5-010EC7652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0" y="6343650"/>
          <a:ext cx="900000" cy="9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030F-3EC7-422F-8E88-F9372BD67294}">
  <sheetPr>
    <pageSetUpPr fitToPage="1"/>
  </sheetPr>
  <dimension ref="A1:Q82"/>
  <sheetViews>
    <sheetView tabSelected="1" topLeftCell="A70" workbookViewId="0">
      <selection activeCell="F85" sqref="F85"/>
    </sheetView>
  </sheetViews>
  <sheetFormatPr defaultRowHeight="14.5" x14ac:dyDescent="0.35"/>
  <cols>
    <col min="3" max="3" width="11.54296875" bestFit="1" customWidth="1"/>
    <col min="4" max="4" width="18.36328125" customWidth="1"/>
    <col min="6" max="6" width="15" customWidth="1"/>
  </cols>
  <sheetData>
    <row r="1" spans="1:17" ht="15" thickBot="1" x14ac:dyDescent="0.4"/>
    <row r="2" spans="1:17" x14ac:dyDescent="0.35">
      <c r="A2" s="99">
        <v>1</v>
      </c>
      <c r="B2" s="110" t="s">
        <v>0</v>
      </c>
      <c r="C2" s="102" t="s">
        <v>1</v>
      </c>
      <c r="D2" s="102" t="s">
        <v>2</v>
      </c>
      <c r="E2" s="108" t="s">
        <v>3</v>
      </c>
      <c r="F2" s="79" t="s">
        <v>4</v>
      </c>
      <c r="G2" s="79"/>
      <c r="H2" s="79"/>
      <c r="I2" s="79"/>
      <c r="J2" s="79"/>
      <c r="K2" s="102" t="s">
        <v>5</v>
      </c>
      <c r="L2" s="104" t="s">
        <v>6</v>
      </c>
      <c r="M2" s="106" t="s">
        <v>7</v>
      </c>
      <c r="N2" s="108" t="s">
        <v>8</v>
      </c>
      <c r="O2" s="100" t="s">
        <v>9</v>
      </c>
    </row>
    <row r="3" spans="1:17" ht="15" thickBot="1" x14ac:dyDescent="0.4">
      <c r="A3" s="99"/>
      <c r="B3" s="111"/>
      <c r="C3" s="103"/>
      <c r="D3" s="103"/>
      <c r="E3" s="109"/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103"/>
      <c r="L3" s="105"/>
      <c r="M3" s="107"/>
      <c r="N3" s="109"/>
      <c r="O3" s="101"/>
    </row>
    <row r="4" spans="1:17" ht="15" x14ac:dyDescent="0.35">
      <c r="A4" s="99"/>
      <c r="B4" s="1">
        <v>1</v>
      </c>
      <c r="C4" s="2" t="s">
        <v>40</v>
      </c>
      <c r="D4" s="2"/>
      <c r="E4" s="4">
        <v>21.68</v>
      </c>
      <c r="F4" s="5" t="s">
        <v>24</v>
      </c>
      <c r="G4" s="2">
        <f>397-10</f>
        <v>387</v>
      </c>
      <c r="H4" s="6">
        <f>1.55-0.04</f>
        <v>1.51</v>
      </c>
      <c r="I4" s="2">
        <v>40000</v>
      </c>
      <c r="J4" s="7">
        <f>I4*H4</f>
        <v>60400</v>
      </c>
      <c r="K4" s="8">
        <f>E4-(H4+H5+H6+H7+H8)/5</f>
        <v>18.675999999999998</v>
      </c>
      <c r="L4" s="8">
        <f>K4*80.5%</f>
        <v>15.034179999999999</v>
      </c>
      <c r="M4" s="7">
        <f>L4*14700</f>
        <v>221002.446</v>
      </c>
      <c r="N4" s="7">
        <f>K4*400</f>
        <v>7470.4</v>
      </c>
      <c r="O4" s="9">
        <f>N4+M4+J4+J5+J6+J7+J8</f>
        <v>316261.84600000002</v>
      </c>
    </row>
    <row r="5" spans="1:17" ht="15" x14ac:dyDescent="0.35">
      <c r="A5" s="99"/>
      <c r="B5" s="10" t="s">
        <v>16</v>
      </c>
      <c r="C5" s="11"/>
      <c r="D5" s="11"/>
      <c r="E5" s="12"/>
      <c r="F5" s="13" t="s">
        <v>24</v>
      </c>
      <c r="G5" s="11">
        <v>69</v>
      </c>
      <c r="H5" s="14">
        <v>0.65</v>
      </c>
      <c r="I5" s="11">
        <v>40000</v>
      </c>
      <c r="J5" s="15">
        <f>I5*H5</f>
        <v>26000</v>
      </c>
      <c r="K5" s="16"/>
      <c r="L5" s="16"/>
      <c r="M5" s="15"/>
      <c r="N5" s="15"/>
      <c r="O5" s="17"/>
    </row>
    <row r="6" spans="1:17" ht="15" x14ac:dyDescent="0.35">
      <c r="A6" s="99"/>
      <c r="B6" s="10"/>
      <c r="C6" s="11"/>
      <c r="D6" s="11"/>
      <c r="E6" s="12"/>
      <c r="F6" s="13" t="s">
        <v>23</v>
      </c>
      <c r="G6" s="11">
        <v>2</v>
      </c>
      <c r="H6" s="14">
        <v>0.78</v>
      </c>
      <c r="I6" s="11">
        <v>150</v>
      </c>
      <c r="J6" s="15">
        <f>I6*H6</f>
        <v>117</v>
      </c>
      <c r="K6" s="16"/>
      <c r="L6" s="16"/>
      <c r="M6" s="15"/>
      <c r="N6" s="15"/>
      <c r="O6" s="17"/>
    </row>
    <row r="7" spans="1:17" ht="15" x14ac:dyDescent="0.35">
      <c r="A7" s="99"/>
      <c r="B7" s="10"/>
      <c r="C7" s="11"/>
      <c r="D7" s="11"/>
      <c r="E7" s="12"/>
      <c r="F7" s="13" t="s">
        <v>22</v>
      </c>
      <c r="G7" s="11">
        <v>2</v>
      </c>
      <c r="H7" s="14">
        <v>1.28</v>
      </c>
      <c r="I7" s="11">
        <v>150</v>
      </c>
      <c r="J7" s="15">
        <f>I7*H7</f>
        <v>192</v>
      </c>
      <c r="K7" s="16"/>
      <c r="L7" s="16"/>
      <c r="M7" s="15"/>
      <c r="N7" s="15"/>
      <c r="O7" s="17"/>
    </row>
    <row r="8" spans="1:17" ht="15" x14ac:dyDescent="0.35">
      <c r="A8" s="99"/>
      <c r="B8" s="10"/>
      <c r="C8" s="11"/>
      <c r="D8" s="11"/>
      <c r="E8" s="12"/>
      <c r="F8" s="13" t="s">
        <v>15</v>
      </c>
      <c r="G8" s="11">
        <v>2</v>
      </c>
      <c r="H8" s="14">
        <v>10.8</v>
      </c>
      <c r="I8" s="11">
        <v>100</v>
      </c>
      <c r="J8" s="15">
        <f>I8*H8</f>
        <v>1080</v>
      </c>
      <c r="K8" s="16"/>
      <c r="L8" s="16"/>
      <c r="M8" s="15"/>
      <c r="N8" s="15"/>
      <c r="O8" s="17"/>
    </row>
    <row r="9" spans="1:17" ht="15" x14ac:dyDescent="0.35">
      <c r="A9" s="99"/>
      <c r="B9" s="10"/>
      <c r="C9" s="11"/>
      <c r="D9" s="11"/>
      <c r="E9" s="12"/>
      <c r="F9" s="13"/>
      <c r="G9" s="11"/>
      <c r="H9" s="14"/>
      <c r="I9" s="11"/>
      <c r="J9" s="15"/>
      <c r="K9" s="16"/>
      <c r="L9" s="16"/>
      <c r="M9" s="15"/>
      <c r="N9" s="15"/>
      <c r="O9" s="17"/>
    </row>
    <row r="10" spans="1:17" ht="15" x14ac:dyDescent="0.35">
      <c r="A10" s="99"/>
      <c r="B10" s="10">
        <v>2</v>
      </c>
      <c r="C10" s="11"/>
      <c r="D10" s="11"/>
      <c r="E10" s="18">
        <v>5</v>
      </c>
      <c r="F10" s="13" t="s">
        <v>20</v>
      </c>
      <c r="G10" s="11">
        <v>1</v>
      </c>
      <c r="H10" s="14">
        <v>3.95</v>
      </c>
      <c r="I10" s="11">
        <v>16000</v>
      </c>
      <c r="J10" s="15">
        <f>I10*H10</f>
        <v>63200</v>
      </c>
      <c r="K10" s="16">
        <f>E10-(H10+H11)/5</f>
        <v>4.21</v>
      </c>
      <c r="L10" s="16">
        <f>K10*80.5%</f>
        <v>3.3890500000000001</v>
      </c>
      <c r="M10" s="15">
        <f>L10*14700</f>
        <v>49819.035000000003</v>
      </c>
      <c r="N10" s="15">
        <f>K10*400</f>
        <v>1684</v>
      </c>
      <c r="O10" s="17">
        <f>N10+M10+J10</f>
        <v>114703.035</v>
      </c>
    </row>
    <row r="11" spans="1:17" ht="15" x14ac:dyDescent="0.35">
      <c r="A11" s="99"/>
      <c r="B11" s="10" t="s">
        <v>39</v>
      </c>
      <c r="C11" s="11"/>
      <c r="D11" s="11"/>
      <c r="E11" s="12"/>
      <c r="F11" s="13"/>
      <c r="G11" s="11"/>
      <c r="H11" s="14"/>
      <c r="I11" s="11"/>
      <c r="J11" s="15"/>
      <c r="K11" s="16"/>
      <c r="L11" s="16"/>
      <c r="M11" s="15"/>
      <c r="N11" s="15"/>
      <c r="O11" s="17"/>
    </row>
    <row r="12" spans="1:17" ht="15" x14ac:dyDescent="0.35">
      <c r="A12" s="99"/>
      <c r="B12" s="10"/>
      <c r="C12" s="11"/>
      <c r="D12" s="11"/>
      <c r="E12" s="12"/>
      <c r="F12" s="13"/>
      <c r="G12" s="11"/>
      <c r="H12" s="14"/>
      <c r="I12" s="11"/>
      <c r="J12" s="15"/>
      <c r="K12" s="16"/>
      <c r="L12" s="16"/>
      <c r="M12" s="15"/>
      <c r="N12" s="15"/>
      <c r="O12" s="17"/>
    </row>
    <row r="13" spans="1:17" ht="15" x14ac:dyDescent="0.35">
      <c r="A13" s="99"/>
      <c r="B13" s="10"/>
      <c r="C13" s="11"/>
      <c r="D13" s="11"/>
      <c r="E13" s="12"/>
      <c r="F13" s="13"/>
      <c r="G13" s="11"/>
      <c r="H13" s="14"/>
      <c r="I13" s="11"/>
      <c r="J13" s="15"/>
      <c r="K13" s="16"/>
      <c r="L13" s="16"/>
      <c r="M13" s="15"/>
      <c r="N13" s="15"/>
      <c r="O13" s="17"/>
    </row>
    <row r="14" spans="1:17" ht="16" thickBot="1" x14ac:dyDescent="0.4">
      <c r="A14" s="99"/>
      <c r="B14" s="19"/>
      <c r="C14" s="20"/>
      <c r="D14" s="20"/>
      <c r="E14" s="21"/>
      <c r="F14" s="22"/>
      <c r="G14" s="22"/>
      <c r="H14" s="23"/>
      <c r="I14" s="20"/>
      <c r="J14" s="24"/>
      <c r="K14" s="21"/>
      <c r="L14" s="21"/>
      <c r="M14" s="21"/>
      <c r="N14" s="25"/>
      <c r="O14" s="26"/>
    </row>
    <row r="15" spans="1:17" ht="16" thickBot="1" x14ac:dyDescent="0.4">
      <c r="A15" s="99"/>
      <c r="B15" s="27"/>
      <c r="C15" s="28"/>
      <c r="D15" s="28"/>
      <c r="E15" s="29">
        <f>SUM(E4:E14)</f>
        <v>26.68</v>
      </c>
      <c r="F15" s="28"/>
      <c r="G15" s="28">
        <f>SUM(G4:G14)</f>
        <v>463</v>
      </c>
      <c r="H15" s="29">
        <f>SUM(H4:H14)</f>
        <v>18.970000000000002</v>
      </c>
      <c r="I15" s="28"/>
      <c r="J15" s="30">
        <f t="shared" ref="J15:O15" si="0">SUM(J4:J14)</f>
        <v>150989</v>
      </c>
      <c r="K15" s="29">
        <f t="shared" si="0"/>
        <v>22.885999999999999</v>
      </c>
      <c r="L15" s="29">
        <f t="shared" si="0"/>
        <v>18.42323</v>
      </c>
      <c r="M15" s="30">
        <f t="shared" si="0"/>
        <v>270821.48100000003</v>
      </c>
      <c r="N15" s="31">
        <f t="shared" si="0"/>
        <v>9154.4</v>
      </c>
      <c r="O15" s="32">
        <f t="shared" si="0"/>
        <v>430964.88100000005</v>
      </c>
      <c r="P15" t="s">
        <v>26</v>
      </c>
      <c r="Q15" t="s">
        <v>50</v>
      </c>
    </row>
    <row r="16" spans="1:17" ht="15" thickBot="1" x14ac:dyDescent="0.4"/>
    <row r="17" spans="1:17" x14ac:dyDescent="0.35">
      <c r="A17" s="99">
        <v>2</v>
      </c>
      <c r="B17" s="110" t="s">
        <v>0</v>
      </c>
      <c r="C17" s="102" t="s">
        <v>1</v>
      </c>
      <c r="D17" s="102" t="s">
        <v>2</v>
      </c>
      <c r="E17" s="108" t="s">
        <v>3</v>
      </c>
      <c r="F17" s="79" t="s">
        <v>4</v>
      </c>
      <c r="G17" s="79"/>
      <c r="H17" s="79"/>
      <c r="I17" s="79"/>
      <c r="J17" s="79"/>
      <c r="K17" s="102" t="s">
        <v>5</v>
      </c>
      <c r="L17" s="104" t="s">
        <v>6</v>
      </c>
      <c r="M17" s="106" t="s">
        <v>7</v>
      </c>
      <c r="N17" s="108" t="s">
        <v>8</v>
      </c>
      <c r="O17" s="100" t="s">
        <v>9</v>
      </c>
    </row>
    <row r="18" spans="1:17" ht="15" thickBot="1" x14ac:dyDescent="0.4">
      <c r="A18" s="99"/>
      <c r="B18" s="111"/>
      <c r="C18" s="103"/>
      <c r="D18" s="103"/>
      <c r="E18" s="109"/>
      <c r="F18" s="3" t="s">
        <v>10</v>
      </c>
      <c r="G18" s="3" t="s">
        <v>11</v>
      </c>
      <c r="H18" s="3" t="s">
        <v>12</v>
      </c>
      <c r="I18" s="3" t="s">
        <v>13</v>
      </c>
      <c r="J18" s="3" t="s">
        <v>14</v>
      </c>
      <c r="K18" s="103"/>
      <c r="L18" s="105"/>
      <c r="M18" s="107"/>
      <c r="N18" s="109"/>
      <c r="O18" s="101"/>
    </row>
    <row r="19" spans="1:17" ht="15" x14ac:dyDescent="0.35">
      <c r="A19" s="99"/>
      <c r="B19" s="1">
        <v>1</v>
      </c>
      <c r="C19" s="2" t="s">
        <v>51</v>
      </c>
      <c r="D19" s="2"/>
      <c r="E19" s="4">
        <v>28.5</v>
      </c>
      <c r="F19" s="5" t="s">
        <v>24</v>
      </c>
      <c r="G19" s="2">
        <v>638</v>
      </c>
      <c r="H19" s="6">
        <v>3.02</v>
      </c>
      <c r="I19" s="2">
        <v>40000</v>
      </c>
      <c r="J19" s="7">
        <f>I19*H19</f>
        <v>120800</v>
      </c>
      <c r="K19" s="8">
        <f>E19-(H19+H20+H21+H22+H23)/5</f>
        <v>24.69</v>
      </c>
      <c r="L19" s="8">
        <f>K19*80.5%</f>
        <v>19.875450000000001</v>
      </c>
      <c r="M19" s="7">
        <f>L19*14940</f>
        <v>296939.223</v>
      </c>
      <c r="N19" s="7">
        <f>K19*400</f>
        <v>9876</v>
      </c>
      <c r="O19" s="9">
        <f>N19+M19+J19+J20+J21+J22+J23</f>
        <v>439682.723</v>
      </c>
    </row>
    <row r="20" spans="1:17" ht="15" x14ac:dyDescent="0.35">
      <c r="A20" s="99"/>
      <c r="B20" s="10" t="s">
        <v>16</v>
      </c>
      <c r="C20" s="11"/>
      <c r="D20" s="11"/>
      <c r="E20" s="12"/>
      <c r="F20" s="13" t="s">
        <v>24</v>
      </c>
      <c r="G20" s="11">
        <v>28</v>
      </c>
      <c r="H20" s="14">
        <v>0.26</v>
      </c>
      <c r="I20" s="11">
        <v>40000</v>
      </c>
      <c r="J20" s="15">
        <f>I20*H20</f>
        <v>10400</v>
      </c>
      <c r="K20" s="16"/>
      <c r="L20" s="16"/>
      <c r="M20" s="15"/>
      <c r="N20" s="15"/>
      <c r="O20" s="17"/>
    </row>
    <row r="21" spans="1:17" ht="15" x14ac:dyDescent="0.35">
      <c r="A21" s="99"/>
      <c r="B21" s="10"/>
      <c r="C21" s="11"/>
      <c r="D21" s="11"/>
      <c r="E21" s="12"/>
      <c r="F21" s="13" t="s">
        <v>23</v>
      </c>
      <c r="G21" s="11">
        <v>2</v>
      </c>
      <c r="H21" s="14">
        <v>0.71</v>
      </c>
      <c r="I21" s="11">
        <v>150</v>
      </c>
      <c r="J21" s="15">
        <f>I21*H21</f>
        <v>106.5</v>
      </c>
      <c r="K21" s="16"/>
      <c r="L21" s="16"/>
      <c r="M21" s="15"/>
      <c r="N21" s="15"/>
      <c r="O21" s="17"/>
    </row>
    <row r="22" spans="1:17" ht="15" x14ac:dyDescent="0.35">
      <c r="A22" s="99"/>
      <c r="B22" s="10"/>
      <c r="C22" s="11"/>
      <c r="D22" s="11"/>
      <c r="E22" s="12"/>
      <c r="F22" s="13" t="s">
        <v>22</v>
      </c>
      <c r="G22" s="11">
        <v>2</v>
      </c>
      <c r="H22" s="14">
        <v>1.1000000000000001</v>
      </c>
      <c r="I22" s="11">
        <v>150</v>
      </c>
      <c r="J22" s="15">
        <f>I22*H22</f>
        <v>165</v>
      </c>
      <c r="K22" s="16"/>
      <c r="L22" s="16"/>
      <c r="M22" s="15"/>
      <c r="N22" s="15"/>
      <c r="O22" s="17"/>
    </row>
    <row r="23" spans="1:17" ht="15" x14ac:dyDescent="0.35">
      <c r="A23" s="99"/>
      <c r="B23" s="10"/>
      <c r="C23" s="11"/>
      <c r="D23" s="11"/>
      <c r="E23" s="12"/>
      <c r="F23" s="13" t="s">
        <v>15</v>
      </c>
      <c r="G23" s="11">
        <v>2</v>
      </c>
      <c r="H23" s="14">
        <v>13.96</v>
      </c>
      <c r="I23" s="11">
        <v>100</v>
      </c>
      <c r="J23" s="15">
        <f>I23*H23</f>
        <v>1396</v>
      </c>
      <c r="K23" s="16"/>
      <c r="L23" s="16"/>
      <c r="M23" s="15"/>
      <c r="N23" s="15"/>
      <c r="O23" s="17"/>
    </row>
    <row r="24" spans="1:17" ht="15" x14ac:dyDescent="0.35">
      <c r="A24" s="99"/>
      <c r="B24" s="10"/>
      <c r="C24" s="11"/>
      <c r="D24" s="11"/>
      <c r="E24" s="59"/>
      <c r="F24" s="54"/>
      <c r="G24" s="3"/>
      <c r="H24" s="66"/>
      <c r="I24" s="3"/>
      <c r="J24" s="56"/>
      <c r="K24" s="57"/>
      <c r="L24" s="57"/>
      <c r="M24" s="56"/>
      <c r="N24" s="56"/>
      <c r="O24" s="58"/>
    </row>
    <row r="25" spans="1:17" ht="15" x14ac:dyDescent="0.35">
      <c r="A25" s="99"/>
      <c r="B25" s="10">
        <v>2</v>
      </c>
      <c r="C25" s="11"/>
      <c r="D25" s="11"/>
      <c r="E25" s="18">
        <v>2.84</v>
      </c>
      <c r="F25" s="13" t="s">
        <v>24</v>
      </c>
      <c r="G25" s="11">
        <v>19</v>
      </c>
      <c r="H25" s="14">
        <v>0.33</v>
      </c>
      <c r="I25" s="11">
        <v>40000</v>
      </c>
      <c r="J25" s="15">
        <f>I25*H25</f>
        <v>13200</v>
      </c>
      <c r="K25" s="16">
        <f>E25-(H25+H26+H27)/5</f>
        <v>2.702</v>
      </c>
      <c r="L25" s="16">
        <f>K25*80.5%</f>
        <v>2.1751100000000001</v>
      </c>
      <c r="M25" s="15">
        <f>L25*14940</f>
        <v>32496.143400000001</v>
      </c>
      <c r="N25" s="15">
        <f>K25*400</f>
        <v>1080.8</v>
      </c>
      <c r="O25" s="17">
        <f>N25+M25+J25+J26</f>
        <v>61896.943400000004</v>
      </c>
    </row>
    <row r="26" spans="1:17" ht="15" x14ac:dyDescent="0.35">
      <c r="A26" s="99"/>
      <c r="B26" s="10" t="s">
        <v>16</v>
      </c>
      <c r="C26" s="11"/>
      <c r="D26" s="11"/>
      <c r="E26" s="12"/>
      <c r="F26" s="13" t="s">
        <v>24</v>
      </c>
      <c r="G26" s="11">
        <v>9</v>
      </c>
      <c r="H26" s="14">
        <v>0.36</v>
      </c>
      <c r="I26" s="11">
        <v>42000</v>
      </c>
      <c r="J26" s="15">
        <f>I26*H26</f>
        <v>15120</v>
      </c>
      <c r="K26" s="16"/>
      <c r="L26" s="16"/>
      <c r="M26" s="15"/>
      <c r="N26" s="15"/>
      <c r="O26" s="17"/>
    </row>
    <row r="27" spans="1:17" ht="15" x14ac:dyDescent="0.35">
      <c r="A27" s="99"/>
      <c r="B27" s="10"/>
      <c r="C27" s="11"/>
      <c r="D27" s="11"/>
      <c r="E27" s="12"/>
      <c r="F27" s="13"/>
      <c r="G27" s="11"/>
      <c r="H27" s="14"/>
      <c r="I27" s="11"/>
      <c r="J27" s="15"/>
      <c r="K27" s="16"/>
      <c r="L27" s="16"/>
      <c r="M27" s="15"/>
      <c r="N27" s="15"/>
      <c r="O27" s="17"/>
    </row>
    <row r="28" spans="1:17" ht="15" x14ac:dyDescent="0.35">
      <c r="A28" s="99"/>
      <c r="B28" s="10"/>
      <c r="C28" s="11"/>
      <c r="D28" s="11"/>
      <c r="E28" s="12"/>
      <c r="F28" s="13"/>
      <c r="G28" s="11"/>
      <c r="H28" s="14"/>
      <c r="I28" s="11"/>
      <c r="J28" s="15"/>
      <c r="K28" s="16"/>
      <c r="L28" s="16"/>
      <c r="M28" s="15"/>
      <c r="N28" s="15"/>
      <c r="O28" s="17"/>
    </row>
    <row r="29" spans="1:17" ht="16" thickBot="1" x14ac:dyDescent="0.4">
      <c r="A29" s="99"/>
      <c r="B29" s="19"/>
      <c r="C29" s="20"/>
      <c r="D29" s="20"/>
      <c r="E29" s="21"/>
      <c r="F29" s="22"/>
      <c r="G29" s="22"/>
      <c r="H29" s="23"/>
      <c r="I29" s="20"/>
      <c r="J29" s="24"/>
      <c r="K29" s="21"/>
      <c r="L29" s="21"/>
      <c r="M29" s="21"/>
      <c r="N29" s="25"/>
      <c r="O29" s="26"/>
    </row>
    <row r="30" spans="1:17" ht="16" thickBot="1" x14ac:dyDescent="0.4">
      <c r="A30" s="99"/>
      <c r="B30" s="27"/>
      <c r="C30" s="28"/>
      <c r="D30" s="28"/>
      <c r="E30" s="29">
        <f>SUM(E19:E29)</f>
        <v>31.34</v>
      </c>
      <c r="F30" s="28"/>
      <c r="G30" s="28">
        <f>SUM(G19:G29)</f>
        <v>700</v>
      </c>
      <c r="H30" s="29">
        <f>SUM(H19:H29)</f>
        <v>19.739999999999998</v>
      </c>
      <c r="I30" s="28"/>
      <c r="J30" s="30">
        <f t="shared" ref="J30:O30" si="1">SUM(J19:J29)</f>
        <v>161187.5</v>
      </c>
      <c r="K30" s="29">
        <f t="shared" si="1"/>
        <v>27.392000000000003</v>
      </c>
      <c r="L30" s="29">
        <f t="shared" si="1"/>
        <v>22.050560000000001</v>
      </c>
      <c r="M30" s="30">
        <f t="shared" si="1"/>
        <v>329435.3664</v>
      </c>
      <c r="N30" s="31">
        <f t="shared" si="1"/>
        <v>10956.8</v>
      </c>
      <c r="O30" s="32">
        <f t="shared" si="1"/>
        <v>501579.66639999999</v>
      </c>
      <c r="P30" t="s">
        <v>26</v>
      </c>
      <c r="Q30" t="s">
        <v>83</v>
      </c>
    </row>
    <row r="31" spans="1:17" ht="15" thickBot="1" x14ac:dyDescent="0.4"/>
    <row r="32" spans="1:17" x14ac:dyDescent="0.35">
      <c r="A32" s="99">
        <v>3</v>
      </c>
      <c r="B32" s="110" t="s">
        <v>0</v>
      </c>
      <c r="C32" s="102" t="s">
        <v>1</v>
      </c>
      <c r="D32" s="102" t="s">
        <v>2</v>
      </c>
      <c r="E32" s="108" t="s">
        <v>3</v>
      </c>
      <c r="F32" s="79" t="s">
        <v>4</v>
      </c>
      <c r="G32" s="79"/>
      <c r="H32" s="79"/>
      <c r="I32" s="79"/>
      <c r="J32" s="79"/>
      <c r="K32" s="102" t="s">
        <v>5</v>
      </c>
      <c r="L32" s="104" t="s">
        <v>6</v>
      </c>
      <c r="M32" s="106" t="s">
        <v>7</v>
      </c>
      <c r="N32" s="108" t="s">
        <v>8</v>
      </c>
      <c r="O32" s="100" t="s">
        <v>9</v>
      </c>
    </row>
    <row r="33" spans="1:17" ht="15" thickBot="1" x14ac:dyDescent="0.4">
      <c r="A33" s="99"/>
      <c r="B33" s="111"/>
      <c r="C33" s="103"/>
      <c r="D33" s="103"/>
      <c r="E33" s="109"/>
      <c r="F33" s="3" t="s">
        <v>10</v>
      </c>
      <c r="G33" s="3" t="s">
        <v>11</v>
      </c>
      <c r="H33" s="3" t="s">
        <v>12</v>
      </c>
      <c r="I33" s="3" t="s">
        <v>13</v>
      </c>
      <c r="J33" s="3" t="s">
        <v>14</v>
      </c>
      <c r="K33" s="103"/>
      <c r="L33" s="105"/>
      <c r="M33" s="107"/>
      <c r="N33" s="109"/>
      <c r="O33" s="101"/>
    </row>
    <row r="34" spans="1:17" ht="15" x14ac:dyDescent="0.35">
      <c r="A34" s="99"/>
      <c r="B34" s="1">
        <v>1</v>
      </c>
      <c r="C34" s="2" t="s">
        <v>55</v>
      </c>
      <c r="D34" s="2"/>
      <c r="E34" s="4">
        <v>5.87</v>
      </c>
      <c r="F34" s="5" t="s">
        <v>24</v>
      </c>
      <c r="G34" s="2">
        <v>9</v>
      </c>
      <c r="H34" s="6">
        <v>0.32</v>
      </c>
      <c r="I34" s="2">
        <v>40000</v>
      </c>
      <c r="J34" s="7">
        <f>I34*H34</f>
        <v>12800</v>
      </c>
      <c r="K34" s="8">
        <f>E34-(H34+H35)/5</f>
        <v>5.806</v>
      </c>
      <c r="L34" s="8">
        <f>K34*80.5%</f>
        <v>4.6738300000000006</v>
      </c>
      <c r="M34" s="7">
        <f>L34*15262</f>
        <v>71331.993460000012</v>
      </c>
      <c r="N34" s="7">
        <f>K34*400</f>
        <v>2322.4</v>
      </c>
      <c r="O34" s="9">
        <f>N34+M34+J34</f>
        <v>86454.393460000007</v>
      </c>
    </row>
    <row r="35" spans="1:17" ht="15" x14ac:dyDescent="0.35">
      <c r="A35" s="99"/>
      <c r="B35" s="10" t="s">
        <v>16</v>
      </c>
      <c r="C35" s="11"/>
      <c r="D35" s="11"/>
      <c r="E35" s="12"/>
      <c r="F35" s="13"/>
      <c r="G35" s="11"/>
      <c r="H35" s="14"/>
      <c r="I35" s="11"/>
      <c r="J35" s="15"/>
      <c r="K35" s="16"/>
      <c r="L35" s="16"/>
      <c r="M35" s="15"/>
      <c r="N35" s="15"/>
      <c r="O35" s="17"/>
    </row>
    <row r="36" spans="1:17" ht="16" thickBot="1" x14ac:dyDescent="0.4">
      <c r="A36" s="99"/>
      <c r="B36" s="19"/>
      <c r="C36" s="20"/>
      <c r="D36" s="20"/>
      <c r="E36" s="21"/>
      <c r="F36" s="22"/>
      <c r="G36" s="22"/>
      <c r="H36" s="23"/>
      <c r="I36" s="20"/>
      <c r="J36" s="24"/>
      <c r="K36" s="21"/>
      <c r="L36" s="21"/>
      <c r="M36" s="21"/>
      <c r="N36" s="25"/>
      <c r="O36" s="26"/>
    </row>
    <row r="37" spans="1:17" ht="16" thickBot="1" x14ac:dyDescent="0.4">
      <c r="A37" s="99"/>
      <c r="B37" s="27"/>
      <c r="C37" s="28"/>
      <c r="D37" s="28"/>
      <c r="E37" s="29">
        <f>SUM(E34:E36)</f>
        <v>5.87</v>
      </c>
      <c r="F37" s="28"/>
      <c r="G37" s="28">
        <f>SUM(G34:G36)</f>
        <v>9</v>
      </c>
      <c r="H37" s="29">
        <f>SUM(H34:H36)</f>
        <v>0.32</v>
      </c>
      <c r="I37" s="28"/>
      <c r="J37" s="30">
        <f t="shared" ref="J37:O37" si="2">SUM(J34:J36)</f>
        <v>12800</v>
      </c>
      <c r="K37" s="29">
        <f t="shared" si="2"/>
        <v>5.806</v>
      </c>
      <c r="L37" s="29">
        <f t="shared" si="2"/>
        <v>4.6738300000000006</v>
      </c>
      <c r="M37" s="30">
        <f t="shared" si="2"/>
        <v>71331.993460000012</v>
      </c>
      <c r="N37" s="31">
        <f t="shared" si="2"/>
        <v>2322.4</v>
      </c>
      <c r="O37" s="32">
        <f t="shared" si="2"/>
        <v>86454.393460000007</v>
      </c>
      <c r="P37" t="s">
        <v>26</v>
      </c>
      <c r="Q37" t="s">
        <v>83</v>
      </c>
    </row>
    <row r="38" spans="1:17" ht="15" thickBot="1" x14ac:dyDescent="0.4"/>
    <row r="39" spans="1:17" x14ac:dyDescent="0.35">
      <c r="A39" s="99">
        <v>4</v>
      </c>
      <c r="B39" s="110" t="s">
        <v>0</v>
      </c>
      <c r="C39" s="102" t="s">
        <v>1</v>
      </c>
      <c r="D39" s="102" t="s">
        <v>2</v>
      </c>
      <c r="E39" s="108" t="s">
        <v>3</v>
      </c>
      <c r="F39" s="79" t="s">
        <v>4</v>
      </c>
      <c r="G39" s="79"/>
      <c r="H39" s="79"/>
      <c r="I39" s="79"/>
      <c r="J39" s="79"/>
      <c r="K39" s="102" t="s">
        <v>5</v>
      </c>
      <c r="L39" s="104" t="s">
        <v>6</v>
      </c>
      <c r="M39" s="106" t="s">
        <v>62</v>
      </c>
      <c r="N39" s="108" t="s">
        <v>8</v>
      </c>
      <c r="O39" s="100" t="s">
        <v>9</v>
      </c>
    </row>
    <row r="40" spans="1:17" ht="15" thickBot="1" x14ac:dyDescent="0.4">
      <c r="A40" s="99"/>
      <c r="B40" s="111"/>
      <c r="C40" s="103"/>
      <c r="D40" s="103"/>
      <c r="E40" s="109"/>
      <c r="F40" s="3" t="s">
        <v>10</v>
      </c>
      <c r="G40" s="3" t="s">
        <v>11</v>
      </c>
      <c r="H40" s="3" t="s">
        <v>12</v>
      </c>
      <c r="I40" s="3" t="s">
        <v>13</v>
      </c>
      <c r="J40" s="3" t="s">
        <v>14</v>
      </c>
      <c r="K40" s="103"/>
      <c r="L40" s="105"/>
      <c r="M40" s="107"/>
      <c r="N40" s="109"/>
      <c r="O40" s="101"/>
    </row>
    <row r="41" spans="1:17" ht="15" x14ac:dyDescent="0.35">
      <c r="A41" s="99"/>
      <c r="B41" s="1">
        <v>1</v>
      </c>
      <c r="C41" s="2" t="s">
        <v>55</v>
      </c>
      <c r="D41" s="2"/>
      <c r="E41" s="4">
        <v>4.2300000000000004</v>
      </c>
      <c r="F41" s="5" t="s">
        <v>61</v>
      </c>
      <c r="G41" s="2">
        <v>1</v>
      </c>
      <c r="H41" s="6">
        <v>4.32</v>
      </c>
      <c r="I41" s="2">
        <v>28000</v>
      </c>
      <c r="J41" s="7">
        <f>I41*H41</f>
        <v>120960.00000000001</v>
      </c>
      <c r="K41" s="8">
        <f>E41-(H41+H42)/5</f>
        <v>3.3660000000000005</v>
      </c>
      <c r="L41" s="8"/>
      <c r="M41" s="7">
        <f>K41*280</f>
        <v>942.48000000000013</v>
      </c>
      <c r="N41" s="7">
        <f>K41*350</f>
        <v>1178.1000000000001</v>
      </c>
      <c r="O41" s="9">
        <f>N41+M41+J41</f>
        <v>123080.58000000002</v>
      </c>
    </row>
    <row r="42" spans="1:17" ht="15" x14ac:dyDescent="0.35">
      <c r="A42" s="99"/>
      <c r="B42" s="10" t="s">
        <v>27</v>
      </c>
      <c r="C42" s="11"/>
      <c r="D42" s="11"/>
      <c r="E42" s="12"/>
      <c r="F42" s="13"/>
      <c r="G42" s="11"/>
      <c r="H42" s="14"/>
      <c r="I42" s="11"/>
      <c r="J42" s="15"/>
      <c r="K42" s="16"/>
      <c r="L42" s="16"/>
      <c r="M42" s="15"/>
      <c r="N42" s="15"/>
      <c r="O42" s="17"/>
    </row>
    <row r="43" spans="1:17" ht="16" thickBot="1" x14ac:dyDescent="0.4">
      <c r="A43" s="99"/>
      <c r="B43" s="19"/>
      <c r="C43" s="20"/>
      <c r="D43" s="20"/>
      <c r="E43" s="21"/>
      <c r="F43" s="22"/>
      <c r="G43" s="22"/>
      <c r="H43" s="23"/>
      <c r="I43" s="20"/>
      <c r="J43" s="24"/>
      <c r="K43" s="21"/>
      <c r="L43" s="21"/>
      <c r="M43" s="21"/>
      <c r="N43" s="25"/>
      <c r="O43" s="26"/>
    </row>
    <row r="44" spans="1:17" ht="16" thickBot="1" x14ac:dyDescent="0.4">
      <c r="A44" s="99"/>
      <c r="B44" s="27"/>
      <c r="C44" s="28"/>
      <c r="D44" s="28"/>
      <c r="E44" s="29">
        <f>SUM(E41:E43)</f>
        <v>4.2300000000000004</v>
      </c>
      <c r="F44" s="28"/>
      <c r="G44" s="28">
        <f>SUM(G41:G43)</f>
        <v>1</v>
      </c>
      <c r="H44" s="29">
        <f>SUM(H41:H43)</f>
        <v>4.32</v>
      </c>
      <c r="I44" s="28"/>
      <c r="J44" s="30">
        <f t="shared" ref="J44:O44" si="3">SUM(J41:J43)</f>
        <v>120960.00000000001</v>
      </c>
      <c r="K44" s="29">
        <f t="shared" si="3"/>
        <v>3.3660000000000005</v>
      </c>
      <c r="L44" s="29">
        <f t="shared" si="3"/>
        <v>0</v>
      </c>
      <c r="M44" s="30">
        <f t="shared" si="3"/>
        <v>942.48000000000013</v>
      </c>
      <c r="N44" s="31">
        <f t="shared" si="3"/>
        <v>1178.1000000000001</v>
      </c>
      <c r="O44" s="32">
        <f t="shared" si="3"/>
        <v>123080.58000000002</v>
      </c>
      <c r="P44" t="s">
        <v>26</v>
      </c>
    </row>
    <row r="45" spans="1:17" ht="15" thickBot="1" x14ac:dyDescent="0.4"/>
    <row r="46" spans="1:17" ht="14.5" customHeight="1" x14ac:dyDescent="0.35">
      <c r="A46" s="99">
        <v>5</v>
      </c>
      <c r="B46" s="110" t="s">
        <v>0</v>
      </c>
      <c r="C46" s="102" t="s">
        <v>1</v>
      </c>
      <c r="D46" s="102" t="s">
        <v>2</v>
      </c>
      <c r="E46" s="108" t="s">
        <v>3</v>
      </c>
      <c r="F46" s="79" t="s">
        <v>4</v>
      </c>
      <c r="G46" s="79"/>
      <c r="H46" s="79"/>
      <c r="I46" s="79"/>
      <c r="J46" s="79"/>
      <c r="K46" s="102" t="s">
        <v>5</v>
      </c>
      <c r="L46" s="104" t="s">
        <v>6</v>
      </c>
      <c r="M46" s="106" t="s">
        <v>7</v>
      </c>
      <c r="N46" s="108" t="s">
        <v>8</v>
      </c>
      <c r="O46" s="100" t="s">
        <v>9</v>
      </c>
    </row>
    <row r="47" spans="1:17" ht="15" thickBot="1" x14ac:dyDescent="0.4">
      <c r="A47" s="99"/>
      <c r="B47" s="111"/>
      <c r="C47" s="103"/>
      <c r="D47" s="103"/>
      <c r="E47" s="109"/>
      <c r="F47" s="3" t="s">
        <v>10</v>
      </c>
      <c r="G47" s="3" t="s">
        <v>11</v>
      </c>
      <c r="H47" s="3" t="s">
        <v>12</v>
      </c>
      <c r="I47" s="3" t="s">
        <v>13</v>
      </c>
      <c r="J47" s="3" t="s">
        <v>14</v>
      </c>
      <c r="K47" s="103"/>
      <c r="L47" s="105"/>
      <c r="M47" s="107"/>
      <c r="N47" s="109"/>
      <c r="O47" s="101"/>
    </row>
    <row r="48" spans="1:17" ht="15" x14ac:dyDescent="0.35">
      <c r="A48" s="99"/>
      <c r="B48" s="1">
        <v>1</v>
      </c>
      <c r="C48" s="2" t="s">
        <v>71</v>
      </c>
      <c r="D48" s="2"/>
      <c r="E48" s="4">
        <v>5.04</v>
      </c>
      <c r="F48" s="5"/>
      <c r="G48" s="2"/>
      <c r="H48" s="6"/>
      <c r="I48" s="2"/>
      <c r="J48" s="7">
        <f t="shared" ref="J48" si="4">I48*H48</f>
        <v>0</v>
      </c>
      <c r="K48" s="8">
        <f>E48-(H48+H49)/5</f>
        <v>5.04</v>
      </c>
      <c r="L48" s="8">
        <f>K48*80.5%</f>
        <v>4.0571999999999999</v>
      </c>
      <c r="M48" s="7">
        <f>L48*15518</f>
        <v>62959.6296</v>
      </c>
      <c r="N48" s="7">
        <f>K48*400</f>
        <v>2016</v>
      </c>
      <c r="O48" s="9">
        <f>N48+J48+M48</f>
        <v>64975.6296</v>
      </c>
    </row>
    <row r="49" spans="1:17" ht="15" x14ac:dyDescent="0.35">
      <c r="A49" s="99"/>
      <c r="B49" s="10" t="s">
        <v>16</v>
      </c>
      <c r="C49" s="11" t="s">
        <v>73</v>
      </c>
      <c r="D49" s="11"/>
      <c r="E49" s="12"/>
      <c r="F49" s="13"/>
      <c r="G49" s="11"/>
      <c r="H49" s="14"/>
      <c r="I49" s="11"/>
      <c r="J49" s="15"/>
      <c r="K49" s="16"/>
      <c r="L49" s="16"/>
      <c r="M49" s="15"/>
      <c r="N49" s="15"/>
      <c r="O49" s="17"/>
    </row>
    <row r="50" spans="1:17" ht="15" x14ac:dyDescent="0.35">
      <c r="A50" s="99"/>
      <c r="B50" s="10"/>
      <c r="C50" s="11"/>
      <c r="D50" s="11"/>
      <c r="E50" s="12"/>
      <c r="F50" s="13"/>
      <c r="G50" s="11"/>
      <c r="H50" s="14"/>
      <c r="I50" s="11"/>
      <c r="J50" s="15"/>
      <c r="K50" s="16"/>
      <c r="L50" s="16"/>
      <c r="M50" s="15"/>
      <c r="N50" s="15"/>
      <c r="O50" s="17"/>
    </row>
    <row r="51" spans="1:17" ht="15" x14ac:dyDescent="0.35">
      <c r="A51" s="99"/>
      <c r="B51" s="10"/>
      <c r="C51" s="11"/>
      <c r="D51" s="11"/>
      <c r="E51" s="12"/>
      <c r="F51" s="13"/>
      <c r="G51" s="11"/>
      <c r="H51" s="14"/>
      <c r="I51" s="11"/>
      <c r="J51" s="15"/>
      <c r="K51" s="16"/>
      <c r="L51" s="16"/>
      <c r="M51" s="15"/>
      <c r="N51" s="15"/>
      <c r="O51" s="17"/>
    </row>
    <row r="52" spans="1:17" ht="15" x14ac:dyDescent="0.35">
      <c r="A52" s="99"/>
      <c r="B52" s="10">
        <v>2</v>
      </c>
      <c r="C52" s="11" t="s">
        <v>72</v>
      </c>
      <c r="D52" s="11"/>
      <c r="E52" s="18">
        <v>4.87</v>
      </c>
      <c r="F52" s="13"/>
      <c r="G52" s="11"/>
      <c r="H52" s="14"/>
      <c r="I52" s="11"/>
      <c r="J52" s="15">
        <f t="shared" ref="J52" si="5">I52*H52</f>
        <v>0</v>
      </c>
      <c r="K52" s="16">
        <f>E52-(H52+H53)/5</f>
        <v>4.87</v>
      </c>
      <c r="L52" s="16">
        <f>K52*80.5%</f>
        <v>3.9203500000000004</v>
      </c>
      <c r="M52" s="15">
        <f>L52*15518</f>
        <v>60835.991300000009</v>
      </c>
      <c r="N52" s="15">
        <f>K52*400</f>
        <v>1948</v>
      </c>
      <c r="O52" s="17">
        <f>N52+J52+M52</f>
        <v>62783.991300000009</v>
      </c>
    </row>
    <row r="53" spans="1:17" ht="15" x14ac:dyDescent="0.35">
      <c r="A53" s="99"/>
      <c r="B53" s="10" t="s">
        <v>16</v>
      </c>
      <c r="C53" s="11"/>
      <c r="D53" s="11"/>
      <c r="E53" s="12"/>
      <c r="F53" s="13"/>
      <c r="G53" s="11"/>
      <c r="H53" s="14"/>
      <c r="I53" s="11"/>
      <c r="J53" s="15"/>
      <c r="K53" s="16"/>
      <c r="L53" s="16"/>
      <c r="M53" s="15"/>
      <c r="N53" s="15"/>
      <c r="O53" s="17"/>
    </row>
    <row r="54" spans="1:17" ht="15" x14ac:dyDescent="0.35">
      <c r="A54" s="99"/>
      <c r="B54" s="10"/>
      <c r="C54" s="11"/>
      <c r="D54" s="11"/>
      <c r="E54" s="12"/>
      <c r="F54" s="13"/>
      <c r="G54" s="11"/>
      <c r="H54" s="14"/>
      <c r="I54" s="11"/>
      <c r="J54" s="15"/>
      <c r="K54" s="16"/>
      <c r="L54" s="16"/>
      <c r="M54" s="15"/>
      <c r="N54" s="15"/>
      <c r="O54" s="17"/>
    </row>
    <row r="55" spans="1:17" ht="15" x14ac:dyDescent="0.35">
      <c r="A55" s="99"/>
      <c r="B55" s="10"/>
      <c r="C55" s="11"/>
      <c r="D55" s="11"/>
      <c r="E55" s="12"/>
      <c r="F55" s="13"/>
      <c r="G55" s="11"/>
      <c r="H55" s="14"/>
      <c r="I55" s="11"/>
      <c r="J55" s="15"/>
      <c r="K55" s="16"/>
      <c r="L55" s="16"/>
      <c r="M55" s="15"/>
      <c r="N55" s="15"/>
      <c r="O55" s="17"/>
    </row>
    <row r="56" spans="1:17" ht="15" x14ac:dyDescent="0.35">
      <c r="A56" s="99"/>
      <c r="B56" s="10">
        <v>3</v>
      </c>
      <c r="C56" s="11"/>
      <c r="D56" s="11"/>
      <c r="E56" s="18">
        <v>22.38</v>
      </c>
      <c r="F56" s="13" t="s">
        <v>24</v>
      </c>
      <c r="G56" s="11">
        <v>64</v>
      </c>
      <c r="H56" s="14">
        <v>0.32</v>
      </c>
      <c r="I56" s="11">
        <v>40000</v>
      </c>
      <c r="J56" s="15">
        <f>I56*H56</f>
        <v>12800</v>
      </c>
      <c r="K56" s="16">
        <f>E56-(H56+H57+H58+H59+H60)/5</f>
        <v>18.419999999999998</v>
      </c>
      <c r="L56" s="16">
        <f>K56*80.5%</f>
        <v>14.828099999999999</v>
      </c>
      <c r="M56" s="15">
        <f>L56*15518</f>
        <v>230102.4558</v>
      </c>
      <c r="N56" s="15">
        <f>K56*400</f>
        <v>7367.9999999999991</v>
      </c>
      <c r="O56" s="17">
        <f>N56+M56+J56+J57+J58+J59+J60</f>
        <v>320937.4558</v>
      </c>
    </row>
    <row r="57" spans="1:17" ht="15" x14ac:dyDescent="0.35">
      <c r="A57" s="99"/>
      <c r="B57" s="10" t="s">
        <v>74</v>
      </c>
      <c r="C57" s="11"/>
      <c r="D57" s="11"/>
      <c r="E57" s="12"/>
      <c r="F57" s="13" t="s">
        <v>24</v>
      </c>
      <c r="G57" s="11">
        <v>96</v>
      </c>
      <c r="H57" s="14">
        <v>1.7</v>
      </c>
      <c r="I57" s="11">
        <v>40000</v>
      </c>
      <c r="J57" s="15">
        <f>I57*H57</f>
        <v>68000</v>
      </c>
      <c r="K57" s="16"/>
      <c r="L57" s="16"/>
      <c r="M57" s="15"/>
      <c r="N57" s="15"/>
      <c r="O57" s="17"/>
    </row>
    <row r="58" spans="1:17" ht="15" x14ac:dyDescent="0.35">
      <c r="A58" s="99"/>
      <c r="B58" s="10"/>
      <c r="C58" s="11"/>
      <c r="D58" s="11"/>
      <c r="E58" s="12"/>
      <c r="F58" s="13" t="s">
        <v>23</v>
      </c>
      <c r="G58" s="11">
        <v>2</v>
      </c>
      <c r="H58" s="95">
        <v>4.55</v>
      </c>
      <c r="I58" s="11">
        <v>150</v>
      </c>
      <c r="J58" s="15">
        <f>I58*H58</f>
        <v>682.5</v>
      </c>
      <c r="K58" s="16"/>
      <c r="L58" s="16"/>
      <c r="M58" s="15"/>
      <c r="N58" s="15"/>
      <c r="O58" s="17"/>
    </row>
    <row r="59" spans="1:17" ht="15" x14ac:dyDescent="0.35">
      <c r="A59" s="99"/>
      <c r="B59" s="10"/>
      <c r="C59" s="11"/>
      <c r="D59" s="11"/>
      <c r="E59" s="12"/>
      <c r="F59" s="13" t="s">
        <v>22</v>
      </c>
      <c r="G59" s="11">
        <v>2</v>
      </c>
      <c r="H59" s="95">
        <v>6.61</v>
      </c>
      <c r="I59" s="11">
        <v>150</v>
      </c>
      <c r="J59" s="15">
        <f>I59*H59</f>
        <v>991.5</v>
      </c>
      <c r="K59" s="16"/>
      <c r="L59" s="16"/>
      <c r="M59" s="15"/>
      <c r="N59" s="15"/>
      <c r="O59" s="17"/>
    </row>
    <row r="60" spans="1:17" ht="15" x14ac:dyDescent="0.35">
      <c r="A60" s="99"/>
      <c r="B60" s="10"/>
      <c r="C60" s="11"/>
      <c r="D60" s="11"/>
      <c r="E60" s="12"/>
      <c r="F60" s="13" t="s">
        <v>75</v>
      </c>
      <c r="G60" s="11">
        <v>2</v>
      </c>
      <c r="H60" s="95">
        <v>6.62</v>
      </c>
      <c r="I60" s="11">
        <v>150</v>
      </c>
      <c r="J60" s="15">
        <f>I60*H60</f>
        <v>993</v>
      </c>
      <c r="K60" s="16"/>
      <c r="L60" s="16"/>
      <c r="M60" s="15"/>
      <c r="N60" s="15"/>
      <c r="O60" s="17"/>
    </row>
    <row r="61" spans="1:17" ht="16" thickBot="1" x14ac:dyDescent="0.4">
      <c r="A61" s="99"/>
      <c r="B61" s="19"/>
      <c r="C61" s="20"/>
      <c r="D61" s="20"/>
      <c r="E61" s="21"/>
      <c r="F61" s="22"/>
      <c r="G61" s="22"/>
      <c r="H61" s="23"/>
      <c r="I61" s="20"/>
      <c r="J61" s="24"/>
      <c r="K61" s="21"/>
      <c r="L61" s="21"/>
      <c r="M61" s="21"/>
      <c r="N61" s="25"/>
      <c r="O61" s="26"/>
    </row>
    <row r="62" spans="1:17" ht="16" thickBot="1" x14ac:dyDescent="0.4">
      <c r="A62" s="99"/>
      <c r="B62" s="27"/>
      <c r="C62" s="28"/>
      <c r="D62" s="28"/>
      <c r="E62" s="29">
        <f>SUM(E48:E61)</f>
        <v>32.29</v>
      </c>
      <c r="F62" s="28"/>
      <c r="G62" s="28">
        <f>SUM(G48:G61)</f>
        <v>166</v>
      </c>
      <c r="H62" s="29">
        <f>SUM(H48:H61)</f>
        <v>19.8</v>
      </c>
      <c r="I62" s="28"/>
      <c r="J62" s="30">
        <f t="shared" ref="J62:O62" si="6">SUM(J48:J61)</f>
        <v>83467</v>
      </c>
      <c r="K62" s="29">
        <f t="shared" si="6"/>
        <v>28.33</v>
      </c>
      <c r="L62" s="29">
        <f t="shared" si="6"/>
        <v>22.80565</v>
      </c>
      <c r="M62" s="30">
        <f t="shared" si="6"/>
        <v>353898.07669999998</v>
      </c>
      <c r="N62" s="31">
        <f t="shared" si="6"/>
        <v>11332</v>
      </c>
      <c r="O62" s="32">
        <f t="shared" si="6"/>
        <v>448697.07669999998</v>
      </c>
      <c r="P62" t="s">
        <v>26</v>
      </c>
      <c r="Q62" t="s">
        <v>83</v>
      </c>
    </row>
    <row r="63" spans="1:17" ht="15" thickBot="1" x14ac:dyDescent="0.4"/>
    <row r="64" spans="1:17" x14ac:dyDescent="0.35">
      <c r="A64" s="99">
        <v>6</v>
      </c>
      <c r="B64" s="110" t="s">
        <v>0</v>
      </c>
      <c r="C64" s="102" t="s">
        <v>1</v>
      </c>
      <c r="D64" s="102" t="s">
        <v>2</v>
      </c>
      <c r="E64" s="108" t="s">
        <v>3</v>
      </c>
      <c r="F64" s="79" t="s">
        <v>4</v>
      </c>
      <c r="G64" s="79"/>
      <c r="H64" s="79"/>
      <c r="I64" s="79"/>
      <c r="J64" s="79"/>
      <c r="K64" s="102" t="s">
        <v>5</v>
      </c>
      <c r="L64" s="104" t="s">
        <v>6</v>
      </c>
      <c r="M64" s="106" t="s">
        <v>7</v>
      </c>
      <c r="N64" s="108" t="s">
        <v>8</v>
      </c>
      <c r="O64" s="100" t="s">
        <v>9</v>
      </c>
    </row>
    <row r="65" spans="1:15" ht="15" thickBot="1" x14ac:dyDescent="0.4">
      <c r="A65" s="99"/>
      <c r="B65" s="111"/>
      <c r="C65" s="103"/>
      <c r="D65" s="103"/>
      <c r="E65" s="109"/>
      <c r="F65" s="3" t="s">
        <v>10</v>
      </c>
      <c r="G65" s="3" t="s">
        <v>11</v>
      </c>
      <c r="H65" s="3" t="s">
        <v>12</v>
      </c>
      <c r="I65" s="3" t="s">
        <v>13</v>
      </c>
      <c r="J65" s="3" t="s">
        <v>14</v>
      </c>
      <c r="K65" s="103"/>
      <c r="L65" s="105"/>
      <c r="M65" s="107"/>
      <c r="N65" s="109"/>
      <c r="O65" s="101"/>
    </row>
    <row r="66" spans="1:15" ht="15" x14ac:dyDescent="0.35">
      <c r="A66" s="99"/>
      <c r="B66" s="1">
        <v>1</v>
      </c>
      <c r="C66" s="2" t="s">
        <v>96</v>
      </c>
      <c r="D66" s="2"/>
      <c r="E66" s="4">
        <v>41.49</v>
      </c>
      <c r="F66" s="5" t="s">
        <v>24</v>
      </c>
      <c r="G66" s="2">
        <v>782</v>
      </c>
      <c r="H66" s="6">
        <v>1.88</v>
      </c>
      <c r="I66" s="2">
        <v>40000</v>
      </c>
      <c r="J66" s="7">
        <f>I66*H66</f>
        <v>75200</v>
      </c>
      <c r="K66" s="8">
        <f>E66-(H66+H67+H68+H69+H70)/5</f>
        <v>34.136000000000003</v>
      </c>
      <c r="L66" s="8">
        <f>K66*80.5%</f>
        <v>27.479480000000002</v>
      </c>
      <c r="M66" s="7">
        <f>L66*14331</f>
        <v>393808.42788000003</v>
      </c>
      <c r="N66" s="7">
        <f>K66*400</f>
        <v>13654.400000000001</v>
      </c>
      <c r="O66" s="9">
        <f>N66+M66+J66+J67+J68+J69+J70</f>
        <v>549626.82788</v>
      </c>
    </row>
    <row r="67" spans="1:15" ht="15" x14ac:dyDescent="0.35">
      <c r="A67" s="99"/>
      <c r="B67" s="10" t="s">
        <v>74</v>
      </c>
      <c r="C67" s="11"/>
      <c r="D67" s="11"/>
      <c r="E67" s="12"/>
      <c r="F67" s="13" t="s">
        <v>24</v>
      </c>
      <c r="G67" s="11">
        <v>146</v>
      </c>
      <c r="H67" s="14">
        <v>1.53</v>
      </c>
      <c r="I67" s="11">
        <v>40000</v>
      </c>
      <c r="J67" s="15">
        <f>I67*H67</f>
        <v>61200</v>
      </c>
      <c r="K67" s="16"/>
      <c r="L67" s="16"/>
      <c r="M67" s="15"/>
      <c r="N67" s="15"/>
      <c r="O67" s="17"/>
    </row>
    <row r="68" spans="1:15" ht="15" x14ac:dyDescent="0.35">
      <c r="A68" s="99"/>
      <c r="B68" s="10"/>
      <c r="C68" s="11"/>
      <c r="D68" s="11"/>
      <c r="E68" s="12"/>
      <c r="F68" s="13" t="s">
        <v>23</v>
      </c>
      <c r="G68" s="11">
        <v>10</v>
      </c>
      <c r="H68" s="95">
        <f>12.52+6.48</f>
        <v>19</v>
      </c>
      <c r="I68" s="11">
        <v>190</v>
      </c>
      <c r="J68" s="15">
        <f>I68*H68</f>
        <v>3610</v>
      </c>
      <c r="K68" s="16"/>
      <c r="L68" s="16"/>
      <c r="M68" s="15"/>
      <c r="N68" s="15"/>
      <c r="O68" s="17"/>
    </row>
    <row r="69" spans="1:15" ht="15" x14ac:dyDescent="0.35">
      <c r="A69" s="99"/>
      <c r="B69" s="10"/>
      <c r="C69" s="11"/>
      <c r="D69" s="11"/>
      <c r="E69" s="12"/>
      <c r="F69" s="13" t="s">
        <v>22</v>
      </c>
      <c r="G69" s="11">
        <v>4</v>
      </c>
      <c r="H69" s="95">
        <v>14.36</v>
      </c>
      <c r="I69" s="11">
        <v>150</v>
      </c>
      <c r="J69" s="15">
        <f>I69*H69</f>
        <v>2154</v>
      </c>
      <c r="K69" s="16"/>
      <c r="L69" s="16"/>
      <c r="M69" s="15"/>
      <c r="N69" s="15"/>
      <c r="O69" s="17"/>
    </row>
    <row r="70" spans="1:15" ht="15" x14ac:dyDescent="0.35">
      <c r="A70" s="99"/>
      <c r="B70" s="10"/>
      <c r="C70" s="11"/>
      <c r="D70" s="11"/>
      <c r="E70" s="12"/>
      <c r="F70" s="13"/>
      <c r="G70" s="11"/>
      <c r="H70" s="14"/>
      <c r="I70" s="11"/>
      <c r="J70" s="15"/>
      <c r="K70" s="16"/>
      <c r="L70" s="16"/>
      <c r="M70" s="15"/>
      <c r="N70" s="15"/>
      <c r="O70" s="17"/>
    </row>
    <row r="71" spans="1:15" ht="16" thickBot="1" x14ac:dyDescent="0.4">
      <c r="A71" s="99"/>
      <c r="B71" s="19"/>
      <c r="C71" s="20"/>
      <c r="D71" s="20"/>
      <c r="E71" s="21"/>
      <c r="F71" s="22"/>
      <c r="G71" s="22"/>
      <c r="H71" s="23"/>
      <c r="I71" s="20"/>
      <c r="J71" s="24"/>
      <c r="K71" s="21"/>
      <c r="L71" s="21"/>
      <c r="M71" s="21"/>
      <c r="N71" s="25"/>
      <c r="O71" s="26"/>
    </row>
    <row r="72" spans="1:15" ht="16" thickBot="1" x14ac:dyDescent="0.4">
      <c r="A72" s="99"/>
      <c r="B72" s="27"/>
      <c r="C72" s="28"/>
      <c r="D72" s="28"/>
      <c r="E72" s="29">
        <f>SUM(E66:E71)</f>
        <v>41.49</v>
      </c>
      <c r="F72" s="28"/>
      <c r="G72" s="28">
        <f>SUM(G66:G71)</f>
        <v>942</v>
      </c>
      <c r="H72" s="29">
        <f>SUM(H66:H71)</f>
        <v>36.769999999999996</v>
      </c>
      <c r="I72" s="28"/>
      <c r="J72" s="30">
        <f t="shared" ref="J72:O72" si="7">SUM(J66:J71)</f>
        <v>142164</v>
      </c>
      <c r="K72" s="29">
        <f t="shared" si="7"/>
        <v>34.136000000000003</v>
      </c>
      <c r="L72" s="29">
        <f t="shared" si="7"/>
        <v>27.479480000000002</v>
      </c>
      <c r="M72" s="30">
        <f t="shared" si="7"/>
        <v>393808.42788000003</v>
      </c>
      <c r="N72" s="31">
        <f t="shared" si="7"/>
        <v>13654.400000000001</v>
      </c>
      <c r="O72" s="32">
        <f t="shared" si="7"/>
        <v>549626.82788</v>
      </c>
    </row>
    <row r="73" spans="1:15" ht="15" thickBot="1" x14ac:dyDescent="0.4"/>
    <row r="74" spans="1:15" x14ac:dyDescent="0.35">
      <c r="A74" s="99">
        <v>7</v>
      </c>
      <c r="B74" s="110" t="s">
        <v>0</v>
      </c>
      <c r="C74" s="102" t="s">
        <v>1</v>
      </c>
      <c r="D74" s="102" t="s">
        <v>2</v>
      </c>
      <c r="E74" s="108" t="s">
        <v>3</v>
      </c>
      <c r="F74" s="79" t="s">
        <v>4</v>
      </c>
      <c r="G74" s="79"/>
      <c r="H74" s="79"/>
      <c r="I74" s="79"/>
      <c r="J74" s="79"/>
      <c r="K74" s="102" t="s">
        <v>5</v>
      </c>
      <c r="L74" s="104" t="s">
        <v>6</v>
      </c>
      <c r="M74" s="106" t="s">
        <v>7</v>
      </c>
      <c r="N74" s="108" t="s">
        <v>8</v>
      </c>
      <c r="O74" s="100" t="s">
        <v>9</v>
      </c>
    </row>
    <row r="75" spans="1:15" ht="15" thickBot="1" x14ac:dyDescent="0.4">
      <c r="A75" s="99"/>
      <c r="B75" s="111"/>
      <c r="C75" s="103"/>
      <c r="D75" s="103"/>
      <c r="E75" s="109"/>
      <c r="F75" s="3" t="s">
        <v>10</v>
      </c>
      <c r="G75" s="3" t="s">
        <v>11</v>
      </c>
      <c r="H75" s="3" t="s">
        <v>12</v>
      </c>
      <c r="I75" s="3" t="s">
        <v>13</v>
      </c>
      <c r="J75" s="3" t="s">
        <v>14</v>
      </c>
      <c r="K75" s="103"/>
      <c r="L75" s="105"/>
      <c r="M75" s="107"/>
      <c r="N75" s="109"/>
      <c r="O75" s="101"/>
    </row>
    <row r="76" spans="1:15" ht="15" x14ac:dyDescent="0.35">
      <c r="A76" s="99"/>
      <c r="B76" s="1">
        <v>1</v>
      </c>
      <c r="C76" s="2" t="s">
        <v>97</v>
      </c>
      <c r="D76" s="2"/>
      <c r="E76" s="4">
        <v>18.87</v>
      </c>
      <c r="F76" s="5" t="s">
        <v>89</v>
      </c>
      <c r="G76" s="2">
        <v>44</v>
      </c>
      <c r="H76" s="6">
        <v>0.25</v>
      </c>
      <c r="I76" s="2">
        <v>36000</v>
      </c>
      <c r="J76" s="7">
        <f>I76*H76</f>
        <v>9000</v>
      </c>
      <c r="K76" s="8">
        <f>E76-(H76+H77+H78+H79+H80)/5</f>
        <v>15.142000000000001</v>
      </c>
      <c r="L76" s="8">
        <f>K76*80.5%</f>
        <v>12.189310000000003</v>
      </c>
      <c r="M76" s="7">
        <f>L76*14331</f>
        <v>174685.00161000004</v>
      </c>
      <c r="N76" s="7">
        <f>K76*400</f>
        <v>6056.8</v>
      </c>
      <c r="O76" s="9">
        <f>N76+M76+J76+J77+J78+J79+J80</f>
        <v>259679.30161000002</v>
      </c>
    </row>
    <row r="77" spans="1:15" ht="15" x14ac:dyDescent="0.35">
      <c r="A77" s="99"/>
      <c r="B77" s="10" t="s">
        <v>74</v>
      </c>
      <c r="C77" s="11"/>
      <c r="D77" s="11"/>
      <c r="E77" s="12"/>
      <c r="F77" s="13" t="s">
        <v>89</v>
      </c>
      <c r="G77" s="11">
        <v>110</v>
      </c>
      <c r="H77" s="14">
        <v>1.53</v>
      </c>
      <c r="I77" s="11">
        <v>36000</v>
      </c>
      <c r="J77" s="15">
        <f>I77*H77</f>
        <v>55080</v>
      </c>
      <c r="K77" s="16"/>
      <c r="L77" s="16"/>
      <c r="M77" s="15"/>
      <c r="N77" s="15"/>
      <c r="O77" s="17"/>
    </row>
    <row r="78" spans="1:15" ht="15" x14ac:dyDescent="0.35">
      <c r="A78" s="99"/>
      <c r="B78" s="10"/>
      <c r="C78" s="11"/>
      <c r="D78" s="11"/>
      <c r="E78" s="12"/>
      <c r="F78" s="13" t="s">
        <v>23</v>
      </c>
      <c r="G78" s="11">
        <v>14</v>
      </c>
      <c r="H78" s="14">
        <v>6.01</v>
      </c>
      <c r="I78" s="11">
        <v>1750</v>
      </c>
      <c r="J78" s="15">
        <f>I78*H78</f>
        <v>10517.5</v>
      </c>
      <c r="K78" s="16"/>
      <c r="L78" s="16"/>
      <c r="M78" s="15"/>
      <c r="N78" s="15"/>
      <c r="O78" s="17"/>
    </row>
    <row r="79" spans="1:15" ht="15" x14ac:dyDescent="0.35">
      <c r="A79" s="99"/>
      <c r="B79" s="10"/>
      <c r="C79" s="11"/>
      <c r="D79" s="11"/>
      <c r="E79" s="12"/>
      <c r="F79" s="13" t="s">
        <v>15</v>
      </c>
      <c r="G79" s="11">
        <v>18</v>
      </c>
      <c r="H79" s="14">
        <v>10.85</v>
      </c>
      <c r="I79" s="11">
        <v>400</v>
      </c>
      <c r="J79" s="15">
        <f>I79*H79</f>
        <v>4340</v>
      </c>
      <c r="K79" s="16"/>
      <c r="L79" s="16"/>
      <c r="M79" s="15"/>
      <c r="N79" s="15"/>
      <c r="O79" s="17"/>
    </row>
    <row r="80" spans="1:15" ht="15" x14ac:dyDescent="0.35">
      <c r="A80" s="99"/>
      <c r="B80" s="10"/>
      <c r="C80" s="11"/>
      <c r="D80" s="11"/>
      <c r="E80" s="12"/>
      <c r="F80" s="13"/>
      <c r="G80" s="11"/>
      <c r="H80" s="14"/>
      <c r="I80" s="11"/>
      <c r="J80" s="15"/>
      <c r="K80" s="16"/>
      <c r="L80" s="16"/>
      <c r="M80" s="15"/>
      <c r="N80" s="15"/>
      <c r="O80" s="17"/>
    </row>
    <row r="81" spans="1:15" ht="16" thickBot="1" x14ac:dyDescent="0.4">
      <c r="A81" s="99"/>
      <c r="B81" s="19"/>
      <c r="C81" s="20"/>
      <c r="D81" s="20"/>
      <c r="E81" s="21"/>
      <c r="F81" s="22"/>
      <c r="G81" s="22"/>
      <c r="H81" s="23"/>
      <c r="I81" s="20"/>
      <c r="J81" s="24"/>
      <c r="K81" s="21"/>
      <c r="L81" s="21"/>
      <c r="M81" s="21"/>
      <c r="N81" s="25"/>
      <c r="O81" s="26"/>
    </row>
    <row r="82" spans="1:15" ht="16" thickBot="1" x14ac:dyDescent="0.4">
      <c r="A82" s="99"/>
      <c r="B82" s="27"/>
      <c r="C82" s="28"/>
      <c r="D82" s="28"/>
      <c r="E82" s="29">
        <f>SUM(E76:E81)</f>
        <v>18.87</v>
      </c>
      <c r="F82" s="28"/>
      <c r="G82" s="28">
        <f>SUM(G76:G81)</f>
        <v>186</v>
      </c>
      <c r="H82" s="29">
        <f>SUM(H76:H81)</f>
        <v>18.64</v>
      </c>
      <c r="I82" s="28"/>
      <c r="J82" s="30">
        <f t="shared" ref="J82:O82" si="8">SUM(J76:J81)</f>
        <v>78937.5</v>
      </c>
      <c r="K82" s="29">
        <f t="shared" si="8"/>
        <v>15.142000000000001</v>
      </c>
      <c r="L82" s="29">
        <f t="shared" si="8"/>
        <v>12.189310000000003</v>
      </c>
      <c r="M82" s="30">
        <f t="shared" si="8"/>
        <v>174685.00161000004</v>
      </c>
      <c r="N82" s="31">
        <f t="shared" si="8"/>
        <v>6056.8</v>
      </c>
      <c r="O82" s="32">
        <f t="shared" si="8"/>
        <v>259679.30161000002</v>
      </c>
    </row>
  </sheetData>
  <mergeCells count="70">
    <mergeCell ref="K74:K75"/>
    <mergeCell ref="L74:L75"/>
    <mergeCell ref="M74:M75"/>
    <mergeCell ref="N74:N75"/>
    <mergeCell ref="O74:O75"/>
    <mergeCell ref="A74:A82"/>
    <mergeCell ref="B74:B75"/>
    <mergeCell ref="C74:C75"/>
    <mergeCell ref="D74:D75"/>
    <mergeCell ref="E74:E75"/>
    <mergeCell ref="K64:K65"/>
    <mergeCell ref="L64:L65"/>
    <mergeCell ref="M64:M65"/>
    <mergeCell ref="N64:N65"/>
    <mergeCell ref="O64:O65"/>
    <mergeCell ref="A64:A72"/>
    <mergeCell ref="B64:B65"/>
    <mergeCell ref="C64:C65"/>
    <mergeCell ref="D64:D65"/>
    <mergeCell ref="E64:E65"/>
    <mergeCell ref="K46:K47"/>
    <mergeCell ref="L46:L47"/>
    <mergeCell ref="M46:M47"/>
    <mergeCell ref="N46:N47"/>
    <mergeCell ref="O46:O47"/>
    <mergeCell ref="A46:A62"/>
    <mergeCell ref="B46:B47"/>
    <mergeCell ref="C46:C47"/>
    <mergeCell ref="D46:D47"/>
    <mergeCell ref="E46:E47"/>
    <mergeCell ref="K17:K18"/>
    <mergeCell ref="L17:L18"/>
    <mergeCell ref="M17:M18"/>
    <mergeCell ref="N17:N18"/>
    <mergeCell ref="O17:O18"/>
    <mergeCell ref="A17:A30"/>
    <mergeCell ref="B17:B18"/>
    <mergeCell ref="C17:C18"/>
    <mergeCell ref="D17:D18"/>
    <mergeCell ref="E17:E18"/>
    <mergeCell ref="A2:A15"/>
    <mergeCell ref="B2:B3"/>
    <mergeCell ref="C2:C3"/>
    <mergeCell ref="D2:D3"/>
    <mergeCell ref="E2:E3"/>
    <mergeCell ref="K2:K3"/>
    <mergeCell ref="L2:L3"/>
    <mergeCell ref="M2:M3"/>
    <mergeCell ref="N2:N3"/>
    <mergeCell ref="O2:O3"/>
    <mergeCell ref="A32:A37"/>
    <mergeCell ref="B32:B33"/>
    <mergeCell ref="C32:C33"/>
    <mergeCell ref="D32:D33"/>
    <mergeCell ref="E32:E33"/>
    <mergeCell ref="K32:K33"/>
    <mergeCell ref="L32:L33"/>
    <mergeCell ref="M32:M33"/>
    <mergeCell ref="N32:N33"/>
    <mergeCell ref="O32:O33"/>
    <mergeCell ref="A39:A44"/>
    <mergeCell ref="B39:B40"/>
    <mergeCell ref="C39:C40"/>
    <mergeCell ref="D39:D40"/>
    <mergeCell ref="E39:E40"/>
    <mergeCell ref="K39:K40"/>
    <mergeCell ref="L39:L40"/>
    <mergeCell ref="M39:M40"/>
    <mergeCell ref="N39:N40"/>
    <mergeCell ref="O39:O40"/>
  </mergeCells>
  <pageMargins left="0.7" right="0.7" top="0.75" bottom="0.75" header="0.3" footer="0.3"/>
  <pageSetup paperSize="9" scale="39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E8A4-09B1-4410-ABE2-87FB61DF50F9}">
  <sheetPr>
    <pageSetUpPr fitToPage="1"/>
  </sheetPr>
  <dimension ref="A1:S58"/>
  <sheetViews>
    <sheetView topLeftCell="A45" workbookViewId="0">
      <selection activeCell="Q54" sqref="Q54"/>
    </sheetView>
  </sheetViews>
  <sheetFormatPr defaultRowHeight="14.5" x14ac:dyDescent="0.35"/>
  <cols>
    <col min="4" max="4" width="15.1796875" customWidth="1"/>
    <col min="6" max="6" width="11.36328125" bestFit="1" customWidth="1"/>
  </cols>
  <sheetData>
    <row r="1" spans="1:19" ht="15" thickBot="1" x14ac:dyDescent="0.4"/>
    <row r="2" spans="1:19" ht="14.4" customHeight="1" x14ac:dyDescent="0.35">
      <c r="A2" s="98">
        <v>1</v>
      </c>
      <c r="B2" s="110" t="s">
        <v>0</v>
      </c>
      <c r="C2" s="102" t="s">
        <v>1</v>
      </c>
      <c r="D2" s="102" t="s">
        <v>2</v>
      </c>
      <c r="E2" s="108" t="s">
        <v>3</v>
      </c>
      <c r="F2" s="112" t="s">
        <v>4</v>
      </c>
      <c r="G2" s="113"/>
      <c r="H2" s="113"/>
      <c r="I2" s="113"/>
      <c r="J2" s="114"/>
      <c r="K2" s="102" t="s">
        <v>5</v>
      </c>
      <c r="L2" s="102" t="s">
        <v>6</v>
      </c>
      <c r="M2" s="106" t="s">
        <v>7</v>
      </c>
      <c r="N2" s="108" t="s">
        <v>8</v>
      </c>
      <c r="O2" s="100" t="s">
        <v>9</v>
      </c>
    </row>
    <row r="3" spans="1:19" ht="15" customHeight="1" thickBot="1" x14ac:dyDescent="0.4">
      <c r="A3" s="98"/>
      <c r="B3" s="111"/>
      <c r="C3" s="103"/>
      <c r="D3" s="103"/>
      <c r="E3" s="109"/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103"/>
      <c r="L3" s="103"/>
      <c r="M3" s="107"/>
      <c r="N3" s="109"/>
      <c r="O3" s="101"/>
    </row>
    <row r="4" spans="1:19" ht="14.4" customHeight="1" x14ac:dyDescent="0.35">
      <c r="A4" s="99"/>
      <c r="B4" s="33">
        <v>1</v>
      </c>
      <c r="C4" s="34" t="s">
        <v>25</v>
      </c>
      <c r="D4" s="34"/>
      <c r="E4" s="35">
        <v>24.5</v>
      </c>
      <c r="F4" s="36" t="s">
        <v>30</v>
      </c>
      <c r="G4" s="34">
        <v>6</v>
      </c>
      <c r="H4" s="37">
        <v>0.91</v>
      </c>
      <c r="I4" s="34">
        <v>52000</v>
      </c>
      <c r="J4" s="38">
        <f t="shared" ref="J4:J10" si="0">I4*H4</f>
        <v>47320</v>
      </c>
      <c r="K4" s="35">
        <f>E4-(H4+H5+H6+H7+H8+H9+H10)/5</f>
        <v>22.812000000000001</v>
      </c>
      <c r="L4" s="8">
        <f>K4*80%</f>
        <v>18.249600000000001</v>
      </c>
      <c r="M4" s="39">
        <f>L4*14837</f>
        <v>270769.31520000001</v>
      </c>
      <c r="N4" s="39">
        <f>1.37*15750</f>
        <v>21577.5</v>
      </c>
      <c r="O4" s="9">
        <f>N4+M4+J4+J5+J6+J7+J8+J9+J10</f>
        <v>859703.08519999986</v>
      </c>
    </row>
    <row r="5" spans="1:19" ht="15.65" customHeight="1" x14ac:dyDescent="0.35">
      <c r="A5" s="99"/>
      <c r="B5" s="40" t="s">
        <v>16</v>
      </c>
      <c r="C5" s="41" t="s">
        <v>38</v>
      </c>
      <c r="D5" s="41"/>
      <c r="E5" s="42"/>
      <c r="F5" s="43" t="s">
        <v>30</v>
      </c>
      <c r="G5" s="13">
        <v>14</v>
      </c>
      <c r="H5" s="62">
        <v>2.84</v>
      </c>
      <c r="I5" s="41">
        <v>61690</v>
      </c>
      <c r="J5" s="45">
        <f t="shared" si="0"/>
        <v>175199.59999999998</v>
      </c>
      <c r="K5" s="42"/>
      <c r="L5" s="42"/>
      <c r="M5" s="46"/>
      <c r="N5" s="46"/>
      <c r="O5" s="17"/>
    </row>
    <row r="6" spans="1:19" ht="15.65" customHeight="1" x14ac:dyDescent="0.35">
      <c r="A6" s="99"/>
      <c r="B6" s="40"/>
      <c r="C6" s="41"/>
      <c r="D6" s="41"/>
      <c r="E6" s="42"/>
      <c r="F6" s="43" t="s">
        <v>30</v>
      </c>
      <c r="G6" s="13">
        <v>6</v>
      </c>
      <c r="H6" s="62">
        <v>1.7</v>
      </c>
      <c r="I6" s="41">
        <v>68000</v>
      </c>
      <c r="J6" s="45">
        <f t="shared" si="0"/>
        <v>115600</v>
      </c>
      <c r="K6" s="42"/>
      <c r="L6" s="42"/>
      <c r="M6" s="46"/>
      <c r="N6" s="46"/>
      <c r="O6" s="17"/>
    </row>
    <row r="7" spans="1:19" ht="15.65" customHeight="1" x14ac:dyDescent="0.35">
      <c r="A7" s="99"/>
      <c r="B7" s="40"/>
      <c r="C7" s="41"/>
      <c r="D7" s="41"/>
      <c r="E7" s="42"/>
      <c r="F7" s="43" t="s">
        <v>30</v>
      </c>
      <c r="G7" s="13">
        <v>4</v>
      </c>
      <c r="H7" s="62">
        <v>1.2</v>
      </c>
      <c r="I7" s="41">
        <v>79692</v>
      </c>
      <c r="J7" s="45">
        <f t="shared" si="0"/>
        <v>95630.399999999994</v>
      </c>
      <c r="K7" s="42"/>
      <c r="L7" s="42"/>
      <c r="M7" s="46"/>
      <c r="N7" s="46"/>
      <c r="O7" s="17"/>
      <c r="S7" s="61"/>
    </row>
    <row r="8" spans="1:19" ht="15.65" customHeight="1" x14ac:dyDescent="0.35">
      <c r="A8" s="99"/>
      <c r="B8" s="40"/>
      <c r="C8" s="41"/>
      <c r="D8" s="41"/>
      <c r="E8" s="42"/>
      <c r="F8" s="43" t="s">
        <v>30</v>
      </c>
      <c r="G8" s="13">
        <v>2</v>
      </c>
      <c r="H8" s="62">
        <v>0.64</v>
      </c>
      <c r="I8" s="41">
        <v>67988</v>
      </c>
      <c r="J8" s="45">
        <f t="shared" si="0"/>
        <v>43512.32</v>
      </c>
      <c r="K8" s="42"/>
      <c r="L8" s="42"/>
      <c r="M8" s="46"/>
      <c r="N8" s="46"/>
      <c r="O8" s="17"/>
    </row>
    <row r="9" spans="1:19" ht="15.65" customHeight="1" x14ac:dyDescent="0.35">
      <c r="A9" s="99"/>
      <c r="B9" s="40"/>
      <c r="C9" s="41"/>
      <c r="D9" s="41"/>
      <c r="E9" s="74"/>
      <c r="F9" s="43" t="s">
        <v>30</v>
      </c>
      <c r="G9" s="13">
        <v>2</v>
      </c>
      <c r="H9" s="62">
        <v>0.7</v>
      </c>
      <c r="I9" s="41">
        <v>81986</v>
      </c>
      <c r="J9" s="45">
        <f t="shared" si="0"/>
        <v>57390.2</v>
      </c>
      <c r="K9" s="42"/>
      <c r="L9" s="42"/>
      <c r="M9" s="46"/>
      <c r="N9" s="46"/>
      <c r="O9" s="17"/>
    </row>
    <row r="10" spans="1:19" ht="16.25" customHeight="1" x14ac:dyDescent="0.35">
      <c r="A10" s="99"/>
      <c r="B10" s="73"/>
      <c r="C10" s="69"/>
      <c r="D10" s="69"/>
      <c r="E10" s="78"/>
      <c r="F10" s="43" t="s">
        <v>30</v>
      </c>
      <c r="G10" s="13">
        <v>1</v>
      </c>
      <c r="H10" s="62">
        <v>0.45</v>
      </c>
      <c r="I10" s="41">
        <v>72675</v>
      </c>
      <c r="J10" s="45">
        <f t="shared" si="0"/>
        <v>32703.75</v>
      </c>
      <c r="K10" s="60"/>
      <c r="L10" s="60"/>
      <c r="M10" s="70"/>
      <c r="N10" s="70"/>
      <c r="O10" s="58"/>
    </row>
    <row r="11" spans="1:19" ht="16.25" customHeight="1" thickBot="1" x14ac:dyDescent="0.4">
      <c r="A11" s="99"/>
      <c r="B11" s="47"/>
      <c r="C11" s="48"/>
      <c r="D11" s="48"/>
      <c r="E11" s="49"/>
      <c r="F11" s="50"/>
      <c r="G11" s="22"/>
      <c r="H11" s="23"/>
      <c r="I11" s="48"/>
      <c r="J11" s="51"/>
      <c r="K11" s="52"/>
      <c r="L11" s="52"/>
      <c r="M11" s="72"/>
      <c r="N11" s="72"/>
      <c r="O11" s="68"/>
    </row>
    <row r="12" spans="1:19" ht="16" thickBot="1" x14ac:dyDescent="0.4">
      <c r="A12" s="98"/>
      <c r="B12" s="27"/>
      <c r="C12" s="28"/>
      <c r="D12" s="28"/>
      <c r="E12" s="29">
        <f>SUM(E4:E9)</f>
        <v>24.5</v>
      </c>
      <c r="F12" s="28"/>
      <c r="G12" s="28">
        <f t="shared" ref="G12:O12" si="1">SUM(G4:G11)</f>
        <v>35</v>
      </c>
      <c r="H12" s="29">
        <f t="shared" si="1"/>
        <v>8.44</v>
      </c>
      <c r="I12" s="28">
        <f t="shared" si="1"/>
        <v>484031</v>
      </c>
      <c r="J12" s="30">
        <f t="shared" si="1"/>
        <v>567356.27</v>
      </c>
      <c r="K12" s="53">
        <f t="shared" si="1"/>
        <v>22.812000000000001</v>
      </c>
      <c r="L12" s="71">
        <f t="shared" si="1"/>
        <v>18.249600000000001</v>
      </c>
      <c r="M12" s="67">
        <f t="shared" si="1"/>
        <v>270769.31520000001</v>
      </c>
      <c r="N12" s="31">
        <f t="shared" si="1"/>
        <v>21577.5</v>
      </c>
      <c r="O12" s="32">
        <f t="shared" si="1"/>
        <v>859703.08519999986</v>
      </c>
      <c r="P12" t="s">
        <v>26</v>
      </c>
    </row>
    <row r="13" spans="1:19" ht="15" thickBot="1" x14ac:dyDescent="0.4"/>
    <row r="14" spans="1:19" x14ac:dyDescent="0.35">
      <c r="A14" s="98">
        <v>2</v>
      </c>
      <c r="B14" s="110" t="s">
        <v>0</v>
      </c>
      <c r="C14" s="102" t="s">
        <v>1</v>
      </c>
      <c r="D14" s="102" t="s">
        <v>2</v>
      </c>
      <c r="E14" s="108" t="s">
        <v>3</v>
      </c>
      <c r="F14" s="112" t="s">
        <v>4</v>
      </c>
      <c r="G14" s="113"/>
      <c r="H14" s="113"/>
      <c r="I14" s="113"/>
      <c r="J14" s="114"/>
      <c r="K14" s="102" t="s">
        <v>5</v>
      </c>
      <c r="L14" s="102" t="s">
        <v>6</v>
      </c>
      <c r="M14" s="106" t="s">
        <v>7</v>
      </c>
      <c r="N14" s="108" t="s">
        <v>8</v>
      </c>
      <c r="O14" s="100" t="s">
        <v>9</v>
      </c>
    </row>
    <row r="15" spans="1:19" ht="15" thickBot="1" x14ac:dyDescent="0.4">
      <c r="A15" s="98"/>
      <c r="B15" s="111"/>
      <c r="C15" s="103"/>
      <c r="D15" s="103"/>
      <c r="E15" s="109"/>
      <c r="F15" s="3" t="s">
        <v>10</v>
      </c>
      <c r="G15" s="3" t="s">
        <v>11</v>
      </c>
      <c r="H15" s="3" t="s">
        <v>12</v>
      </c>
      <c r="I15" s="3" t="s">
        <v>13</v>
      </c>
      <c r="J15" s="3" t="s">
        <v>14</v>
      </c>
      <c r="K15" s="103"/>
      <c r="L15" s="103"/>
      <c r="M15" s="107"/>
      <c r="N15" s="109"/>
      <c r="O15" s="101"/>
    </row>
    <row r="16" spans="1:19" x14ac:dyDescent="0.35">
      <c r="A16" s="99"/>
      <c r="B16" s="33">
        <v>1</v>
      </c>
      <c r="C16" s="34" t="s">
        <v>25</v>
      </c>
      <c r="D16" s="34"/>
      <c r="E16" s="35">
        <v>43.47</v>
      </c>
      <c r="F16" s="36" t="s">
        <v>24</v>
      </c>
      <c r="G16" s="34">
        <v>94</v>
      </c>
      <c r="H16" s="37">
        <v>5.89</v>
      </c>
      <c r="I16" s="34">
        <v>40000</v>
      </c>
      <c r="J16" s="38">
        <f t="shared" ref="J16" si="2">I16*H16</f>
        <v>235600</v>
      </c>
      <c r="K16" s="35">
        <f>E16-(H16+H17)/5</f>
        <v>42.292000000000002</v>
      </c>
      <c r="L16" s="8">
        <f>K16*96.6%</f>
        <v>40.854072000000002</v>
      </c>
      <c r="M16" s="39">
        <f>L16*14898</f>
        <v>608643.96465600003</v>
      </c>
      <c r="N16" s="39">
        <f>K16*695</f>
        <v>29392.940000000002</v>
      </c>
      <c r="O16" s="9">
        <f>N16+M16+J16</f>
        <v>873636.90465599997</v>
      </c>
    </row>
    <row r="17" spans="1:16" ht="15.5" x14ac:dyDescent="0.35">
      <c r="A17" s="99"/>
      <c r="B17" s="40" t="s">
        <v>21</v>
      </c>
      <c r="C17" s="41" t="s">
        <v>41</v>
      </c>
      <c r="D17" s="41"/>
      <c r="E17" s="42"/>
      <c r="F17" s="43"/>
      <c r="G17" s="13"/>
      <c r="H17" s="62"/>
      <c r="I17" s="41"/>
      <c r="J17" s="45"/>
      <c r="K17" s="42"/>
      <c r="L17" s="42"/>
      <c r="M17" s="46"/>
      <c r="N17" s="46"/>
      <c r="O17" s="17"/>
    </row>
    <row r="18" spans="1:16" ht="15.5" x14ac:dyDescent="0.35">
      <c r="A18" s="99"/>
      <c r="B18" s="40"/>
      <c r="C18" s="41"/>
      <c r="D18" s="41"/>
      <c r="E18" s="42"/>
      <c r="F18" s="43"/>
      <c r="G18" s="13"/>
      <c r="H18" s="62"/>
      <c r="I18" s="41"/>
      <c r="J18" s="45"/>
      <c r="K18" s="42"/>
      <c r="L18" s="42"/>
      <c r="M18" s="46"/>
      <c r="N18" s="46"/>
      <c r="O18" s="17"/>
    </row>
    <row r="19" spans="1:16" ht="16" thickBot="1" x14ac:dyDescent="0.4">
      <c r="A19" s="99"/>
      <c r="B19" s="47"/>
      <c r="C19" s="48"/>
      <c r="D19" s="48"/>
      <c r="E19" s="49"/>
      <c r="F19" s="50"/>
      <c r="G19" s="22"/>
      <c r="H19" s="23"/>
      <c r="I19" s="48"/>
      <c r="J19" s="51"/>
      <c r="K19" s="52"/>
      <c r="L19" s="52"/>
      <c r="M19" s="72"/>
      <c r="N19" s="72"/>
      <c r="O19" s="68"/>
    </row>
    <row r="20" spans="1:16" ht="16" thickBot="1" x14ac:dyDescent="0.4">
      <c r="A20" s="98"/>
      <c r="B20" s="27"/>
      <c r="C20" s="28"/>
      <c r="D20" s="28"/>
      <c r="E20" s="29">
        <f>SUM(E16:E18)</f>
        <v>43.47</v>
      </c>
      <c r="F20" s="28"/>
      <c r="G20" s="28">
        <f t="shared" ref="G20:O20" si="3">SUM(G16:G19)</f>
        <v>94</v>
      </c>
      <c r="H20" s="29">
        <f t="shared" si="3"/>
        <v>5.89</v>
      </c>
      <c r="I20" s="28">
        <f t="shared" si="3"/>
        <v>40000</v>
      </c>
      <c r="J20" s="30">
        <f t="shared" si="3"/>
        <v>235600</v>
      </c>
      <c r="K20" s="53">
        <f t="shared" si="3"/>
        <v>42.292000000000002</v>
      </c>
      <c r="L20" s="71">
        <f t="shared" si="3"/>
        <v>40.854072000000002</v>
      </c>
      <c r="M20" s="67">
        <f t="shared" si="3"/>
        <v>608643.96465600003</v>
      </c>
      <c r="N20" s="31">
        <f t="shared" si="3"/>
        <v>29392.940000000002</v>
      </c>
      <c r="O20" s="32">
        <f t="shared" si="3"/>
        <v>873636.90465599997</v>
      </c>
      <c r="P20" t="s">
        <v>26</v>
      </c>
    </row>
    <row r="21" spans="1:16" ht="15" thickBot="1" x14ac:dyDescent="0.4"/>
    <row r="22" spans="1:16" x14ac:dyDescent="0.35">
      <c r="A22" s="98">
        <v>3</v>
      </c>
      <c r="B22" s="110" t="s">
        <v>0</v>
      </c>
      <c r="C22" s="102" t="s">
        <v>1</v>
      </c>
      <c r="D22" s="102" t="s">
        <v>2</v>
      </c>
      <c r="E22" s="108" t="s">
        <v>3</v>
      </c>
      <c r="F22" s="112" t="s">
        <v>4</v>
      </c>
      <c r="G22" s="113"/>
      <c r="H22" s="113"/>
      <c r="I22" s="113"/>
      <c r="J22" s="114"/>
      <c r="K22" s="102" t="s">
        <v>5</v>
      </c>
      <c r="L22" s="102" t="s">
        <v>6</v>
      </c>
      <c r="M22" s="106" t="s">
        <v>7</v>
      </c>
      <c r="N22" s="108" t="s">
        <v>8</v>
      </c>
      <c r="O22" s="100" t="s">
        <v>9</v>
      </c>
    </row>
    <row r="23" spans="1:16" ht="15" thickBot="1" x14ac:dyDescent="0.4">
      <c r="A23" s="98"/>
      <c r="B23" s="111"/>
      <c r="C23" s="103"/>
      <c r="D23" s="103"/>
      <c r="E23" s="109"/>
      <c r="F23" s="3" t="s">
        <v>10</v>
      </c>
      <c r="G23" s="3" t="s">
        <v>11</v>
      </c>
      <c r="H23" s="3" t="s">
        <v>12</v>
      </c>
      <c r="I23" s="3" t="s">
        <v>13</v>
      </c>
      <c r="J23" s="3" t="s">
        <v>14</v>
      </c>
      <c r="K23" s="103"/>
      <c r="L23" s="103"/>
      <c r="M23" s="107"/>
      <c r="N23" s="109"/>
      <c r="O23" s="101"/>
    </row>
    <row r="24" spans="1:16" x14ac:dyDescent="0.35">
      <c r="A24" s="99"/>
      <c r="B24" s="33">
        <v>1</v>
      </c>
      <c r="C24" s="34" t="s">
        <v>25</v>
      </c>
      <c r="D24" s="34"/>
      <c r="E24" s="35">
        <v>31.16</v>
      </c>
      <c r="F24" s="36" t="s">
        <v>24</v>
      </c>
      <c r="G24" s="34">
        <v>12</v>
      </c>
      <c r="H24" s="37">
        <v>1.23</v>
      </c>
      <c r="I24" s="34">
        <v>48000</v>
      </c>
      <c r="J24" s="38">
        <f t="shared" ref="J24" si="4">I24*H24</f>
        <v>59040</v>
      </c>
      <c r="K24" s="35">
        <f>E24-(H24+H25)/5</f>
        <v>30.914000000000001</v>
      </c>
      <c r="L24" s="8">
        <f>K24*101%</f>
        <v>31.223140000000001</v>
      </c>
      <c r="M24" s="39"/>
      <c r="N24" s="39"/>
      <c r="O24" s="9">
        <f>N24+M24+J24</f>
        <v>59040</v>
      </c>
    </row>
    <row r="25" spans="1:16" ht="15.5" x14ac:dyDescent="0.35">
      <c r="A25" s="99"/>
      <c r="B25" s="40" t="s">
        <v>21</v>
      </c>
      <c r="C25" s="41" t="s">
        <v>58</v>
      </c>
      <c r="D25" s="41"/>
      <c r="E25" s="42"/>
      <c r="F25" s="43"/>
      <c r="G25" s="13"/>
      <c r="H25" s="62"/>
      <c r="I25" s="41"/>
      <c r="J25" s="45"/>
      <c r="K25" s="42"/>
      <c r="L25" s="42"/>
      <c r="M25" s="46"/>
      <c r="N25" s="46"/>
      <c r="O25" s="17"/>
    </row>
    <row r="26" spans="1:16" ht="15.5" x14ac:dyDescent="0.35">
      <c r="A26" s="99"/>
      <c r="B26" s="40"/>
      <c r="C26" s="41"/>
      <c r="D26" s="41"/>
      <c r="E26" s="42"/>
      <c r="F26" s="43"/>
      <c r="G26" s="13"/>
      <c r="H26" s="62"/>
      <c r="I26" s="41"/>
      <c r="J26" s="45"/>
      <c r="K26" s="42"/>
      <c r="L26" s="42"/>
      <c r="M26" s="46"/>
      <c r="N26" s="46"/>
      <c r="O26" s="17"/>
    </row>
    <row r="27" spans="1:16" ht="16" thickBot="1" x14ac:dyDescent="0.4">
      <c r="A27" s="99"/>
      <c r="B27" s="47"/>
      <c r="C27" s="48"/>
      <c r="D27" s="48"/>
      <c r="E27" s="49"/>
      <c r="F27" s="50"/>
      <c r="G27" s="22"/>
      <c r="H27" s="23"/>
      <c r="I27" s="48"/>
      <c r="J27" s="51"/>
      <c r="K27" s="52"/>
      <c r="L27" s="52"/>
      <c r="M27" s="72"/>
      <c r="N27" s="72"/>
      <c r="O27" s="68"/>
    </row>
    <row r="28" spans="1:16" ht="16" thickBot="1" x14ac:dyDescent="0.4">
      <c r="A28" s="98"/>
      <c r="B28" s="27"/>
      <c r="C28" s="28"/>
      <c r="D28" s="28"/>
      <c r="E28" s="29">
        <f>SUM(E24:E26)</f>
        <v>31.16</v>
      </c>
      <c r="F28" s="28"/>
      <c r="G28" s="28">
        <f t="shared" ref="G28:O28" si="5">SUM(G24:G27)</f>
        <v>12</v>
      </c>
      <c r="H28" s="29">
        <f t="shared" si="5"/>
        <v>1.23</v>
      </c>
      <c r="I28" s="28">
        <f t="shared" si="5"/>
        <v>48000</v>
      </c>
      <c r="J28" s="30">
        <f t="shared" si="5"/>
        <v>59040</v>
      </c>
      <c r="K28" s="53">
        <f t="shared" si="5"/>
        <v>30.914000000000001</v>
      </c>
      <c r="L28" s="71">
        <f t="shared" si="5"/>
        <v>31.223140000000001</v>
      </c>
      <c r="M28" s="67">
        <f t="shared" si="5"/>
        <v>0</v>
      </c>
      <c r="N28" s="31">
        <f t="shared" si="5"/>
        <v>0</v>
      </c>
      <c r="O28" s="32">
        <f t="shared" si="5"/>
        <v>59040</v>
      </c>
      <c r="P28" t="s">
        <v>26</v>
      </c>
    </row>
    <row r="29" spans="1:16" ht="15" thickBot="1" x14ac:dyDescent="0.4"/>
    <row r="30" spans="1:16" x14ac:dyDescent="0.35">
      <c r="A30" s="98">
        <v>4</v>
      </c>
      <c r="B30" s="110" t="s">
        <v>0</v>
      </c>
      <c r="C30" s="102" t="s">
        <v>1</v>
      </c>
      <c r="D30" s="102" t="s">
        <v>2</v>
      </c>
      <c r="E30" s="108" t="s">
        <v>3</v>
      </c>
      <c r="F30" s="112" t="s">
        <v>4</v>
      </c>
      <c r="G30" s="113"/>
      <c r="H30" s="113"/>
      <c r="I30" s="113"/>
      <c r="J30" s="114"/>
      <c r="K30" s="102" t="s">
        <v>5</v>
      </c>
      <c r="L30" s="102" t="s">
        <v>6</v>
      </c>
      <c r="M30" s="106" t="s">
        <v>7</v>
      </c>
      <c r="N30" s="108" t="s">
        <v>8</v>
      </c>
      <c r="O30" s="100" t="s">
        <v>9</v>
      </c>
    </row>
    <row r="31" spans="1:16" ht="15" thickBot="1" x14ac:dyDescent="0.4">
      <c r="A31" s="98"/>
      <c r="B31" s="111"/>
      <c r="C31" s="103"/>
      <c r="D31" s="103"/>
      <c r="E31" s="109"/>
      <c r="F31" s="3" t="s">
        <v>10</v>
      </c>
      <c r="G31" s="3" t="s">
        <v>11</v>
      </c>
      <c r="H31" s="3" t="s">
        <v>12</v>
      </c>
      <c r="I31" s="3" t="s">
        <v>13</v>
      </c>
      <c r="J31" s="3" t="s">
        <v>14</v>
      </c>
      <c r="K31" s="103"/>
      <c r="L31" s="103"/>
      <c r="M31" s="107"/>
      <c r="N31" s="109"/>
      <c r="O31" s="101"/>
    </row>
    <row r="32" spans="1:16" x14ac:dyDescent="0.35">
      <c r="A32" s="99"/>
      <c r="B32" s="33">
        <v>1</v>
      </c>
      <c r="C32" s="34" t="s">
        <v>25</v>
      </c>
      <c r="D32" s="34"/>
      <c r="E32" s="35">
        <v>12.93</v>
      </c>
      <c r="F32" s="36" t="s">
        <v>24</v>
      </c>
      <c r="G32" s="34">
        <v>44</v>
      </c>
      <c r="H32" s="37">
        <v>2.98</v>
      </c>
      <c r="I32" s="34">
        <v>42000</v>
      </c>
      <c r="J32" s="38">
        <f t="shared" ref="J32" si="6">I32*H32</f>
        <v>125160</v>
      </c>
      <c r="K32" s="35">
        <f>E32-(H32+H33)/5</f>
        <v>12.334</v>
      </c>
      <c r="L32" s="8">
        <f>K32*80%</f>
        <v>9.8672000000000004</v>
      </c>
      <c r="M32" s="39">
        <f>L32*15518</f>
        <v>153119.2096</v>
      </c>
      <c r="N32" s="39">
        <f>K32*950</f>
        <v>11717.3</v>
      </c>
      <c r="O32" s="9">
        <f>N32+M32+J32</f>
        <v>289996.50959999999</v>
      </c>
    </row>
    <row r="33" spans="1:16" ht="15.5" x14ac:dyDescent="0.35">
      <c r="A33" s="99"/>
      <c r="B33" s="40" t="s">
        <v>16</v>
      </c>
      <c r="C33" s="41" t="s">
        <v>76</v>
      </c>
      <c r="D33" s="41"/>
      <c r="E33" s="42"/>
      <c r="F33" s="43"/>
      <c r="G33" s="13"/>
      <c r="H33" s="62"/>
      <c r="I33" s="41"/>
      <c r="J33" s="45"/>
      <c r="K33" s="42"/>
      <c r="L33" s="42"/>
      <c r="M33" s="46"/>
      <c r="N33" s="46"/>
      <c r="O33" s="17"/>
    </row>
    <row r="34" spans="1:16" ht="15.5" x14ac:dyDescent="0.35">
      <c r="A34" s="99"/>
      <c r="B34" s="40"/>
      <c r="C34" s="41"/>
      <c r="D34" s="41"/>
      <c r="E34" s="42"/>
      <c r="F34" s="43"/>
      <c r="G34" s="13"/>
      <c r="H34" s="62"/>
      <c r="I34" s="41"/>
      <c r="J34" s="45"/>
      <c r="K34" s="42"/>
      <c r="L34" s="42"/>
      <c r="M34" s="46"/>
      <c r="N34" s="46"/>
      <c r="O34" s="17"/>
    </row>
    <row r="35" spans="1:16" ht="16" thickBot="1" x14ac:dyDescent="0.4">
      <c r="A35" s="99"/>
      <c r="B35" s="47"/>
      <c r="C35" s="48"/>
      <c r="D35" s="48"/>
      <c r="E35" s="49"/>
      <c r="F35" s="50"/>
      <c r="G35" s="22"/>
      <c r="H35" s="23"/>
      <c r="I35" s="48"/>
      <c r="J35" s="51"/>
      <c r="K35" s="52"/>
      <c r="L35" s="52"/>
      <c r="M35" s="72"/>
      <c r="N35" s="72"/>
      <c r="O35" s="68"/>
    </row>
    <row r="36" spans="1:16" ht="16" thickBot="1" x14ac:dyDescent="0.4">
      <c r="A36" s="98"/>
      <c r="B36" s="27"/>
      <c r="C36" s="28"/>
      <c r="D36" s="28"/>
      <c r="E36" s="29">
        <f>SUM(E32:E34)</f>
        <v>12.93</v>
      </c>
      <c r="F36" s="28"/>
      <c r="G36" s="28">
        <f t="shared" ref="G36:O36" si="7">SUM(G32:G35)</f>
        <v>44</v>
      </c>
      <c r="H36" s="29">
        <f t="shared" si="7"/>
        <v>2.98</v>
      </c>
      <c r="I36" s="28">
        <f t="shared" si="7"/>
        <v>42000</v>
      </c>
      <c r="J36" s="30">
        <f t="shared" si="7"/>
        <v>125160</v>
      </c>
      <c r="K36" s="53">
        <f t="shared" si="7"/>
        <v>12.334</v>
      </c>
      <c r="L36" s="71">
        <f t="shared" si="7"/>
        <v>9.8672000000000004</v>
      </c>
      <c r="M36" s="67">
        <f t="shared" si="7"/>
        <v>153119.2096</v>
      </c>
      <c r="N36" s="31">
        <f t="shared" si="7"/>
        <v>11717.3</v>
      </c>
      <c r="O36" s="32">
        <f t="shared" si="7"/>
        <v>289996.50959999999</v>
      </c>
      <c r="P36" t="s">
        <v>26</v>
      </c>
    </row>
    <row r="37" spans="1:16" ht="15" thickBot="1" x14ac:dyDescent="0.4"/>
    <row r="38" spans="1:16" x14ac:dyDescent="0.35">
      <c r="A38" s="98">
        <v>5</v>
      </c>
      <c r="B38" s="110" t="s">
        <v>0</v>
      </c>
      <c r="C38" s="102" t="s">
        <v>1</v>
      </c>
      <c r="D38" s="102" t="s">
        <v>2</v>
      </c>
      <c r="E38" s="108" t="s">
        <v>3</v>
      </c>
      <c r="F38" s="112" t="s">
        <v>4</v>
      </c>
      <c r="G38" s="113"/>
      <c r="H38" s="113"/>
      <c r="I38" s="113"/>
      <c r="J38" s="114"/>
      <c r="K38" s="102" t="s">
        <v>5</v>
      </c>
      <c r="L38" s="102" t="s">
        <v>6</v>
      </c>
      <c r="M38" s="106" t="s">
        <v>7</v>
      </c>
      <c r="N38" s="108" t="s">
        <v>8</v>
      </c>
      <c r="O38" s="100" t="s">
        <v>9</v>
      </c>
    </row>
    <row r="39" spans="1:16" ht="15" thickBot="1" x14ac:dyDescent="0.4">
      <c r="A39" s="98"/>
      <c r="B39" s="111"/>
      <c r="C39" s="103"/>
      <c r="D39" s="103"/>
      <c r="E39" s="109"/>
      <c r="F39" s="3" t="s">
        <v>10</v>
      </c>
      <c r="G39" s="3" t="s">
        <v>11</v>
      </c>
      <c r="H39" s="3" t="s">
        <v>12</v>
      </c>
      <c r="I39" s="3" t="s">
        <v>13</v>
      </c>
      <c r="J39" s="3" t="s">
        <v>14</v>
      </c>
      <c r="K39" s="103"/>
      <c r="L39" s="103"/>
      <c r="M39" s="107"/>
      <c r="N39" s="109"/>
      <c r="O39" s="101"/>
    </row>
    <row r="40" spans="1:16" x14ac:dyDescent="0.35">
      <c r="A40" s="99"/>
      <c r="B40" s="33">
        <v>1</v>
      </c>
      <c r="C40" s="34" t="s">
        <v>25</v>
      </c>
      <c r="D40" s="34"/>
      <c r="E40" s="35"/>
      <c r="F40" s="36" t="s">
        <v>82</v>
      </c>
      <c r="G40" s="34"/>
      <c r="H40" s="37"/>
      <c r="I40" s="34"/>
      <c r="J40" s="38">
        <f>4.37*2000</f>
        <v>8740</v>
      </c>
      <c r="K40" s="35">
        <v>0</v>
      </c>
      <c r="L40" s="8">
        <f>K40*102%</f>
        <v>0</v>
      </c>
      <c r="M40" s="39"/>
      <c r="N40" s="39">
        <f>3.24*15500</f>
        <v>50220</v>
      </c>
      <c r="O40" s="9">
        <f>N40+M40+J40</f>
        <v>58960</v>
      </c>
    </row>
    <row r="41" spans="1:16" ht="15.5" x14ac:dyDescent="0.35">
      <c r="A41" s="99"/>
      <c r="B41" s="40" t="s">
        <v>21</v>
      </c>
      <c r="C41" s="41" t="s">
        <v>81</v>
      </c>
      <c r="D41" s="41"/>
      <c r="E41" s="42"/>
      <c r="F41" s="43"/>
      <c r="G41" s="13"/>
      <c r="H41" s="62"/>
      <c r="I41" s="41"/>
      <c r="J41" s="45"/>
      <c r="K41" s="42"/>
      <c r="L41" s="42"/>
      <c r="M41" s="46"/>
      <c r="N41" s="46"/>
      <c r="O41" s="17"/>
    </row>
    <row r="42" spans="1:16" ht="15.5" x14ac:dyDescent="0.35">
      <c r="A42" s="99"/>
      <c r="B42" s="115" t="s">
        <v>79</v>
      </c>
      <c r="C42" s="116"/>
      <c r="D42" s="41"/>
      <c r="E42" s="42"/>
      <c r="F42" s="43"/>
      <c r="G42" s="13"/>
      <c r="H42" s="62"/>
      <c r="I42" s="41"/>
      <c r="J42" s="45"/>
      <c r="K42" s="42"/>
      <c r="L42" s="42"/>
      <c r="M42" s="46"/>
      <c r="N42" s="46"/>
      <c r="O42" s="17"/>
    </row>
    <row r="43" spans="1:16" ht="15.5" x14ac:dyDescent="0.35">
      <c r="A43" s="99"/>
      <c r="B43" s="90"/>
      <c r="C43" s="89"/>
      <c r="D43" s="41"/>
      <c r="E43" s="42"/>
      <c r="F43" s="43"/>
      <c r="G43" s="13"/>
      <c r="H43" s="62"/>
      <c r="I43" s="41"/>
      <c r="J43" s="45"/>
      <c r="K43" s="42"/>
      <c r="L43" s="42"/>
      <c r="M43" s="46"/>
      <c r="N43" s="46"/>
      <c r="O43" s="17"/>
    </row>
    <row r="44" spans="1:16" x14ac:dyDescent="0.35">
      <c r="A44" s="99"/>
      <c r="B44" s="40">
        <v>2</v>
      </c>
      <c r="C44" s="89"/>
      <c r="D44" s="41"/>
      <c r="E44" s="42">
        <v>43.37</v>
      </c>
      <c r="F44" s="43" t="s">
        <v>24</v>
      </c>
      <c r="G44" s="41">
        <v>190</v>
      </c>
      <c r="H44" s="44">
        <v>8.84</v>
      </c>
      <c r="I44" s="41">
        <v>42000</v>
      </c>
      <c r="J44" s="45">
        <f t="shared" ref="J44" si="8">I44*H44</f>
        <v>371280</v>
      </c>
      <c r="K44" s="42">
        <f>E44-(H44+H45+H46)/5</f>
        <v>41.099999999999994</v>
      </c>
      <c r="L44" s="16">
        <f>K44*79.8%</f>
        <v>32.797799999999995</v>
      </c>
      <c r="M44" s="46">
        <f>L44*15533.98</f>
        <v>509480.36924399988</v>
      </c>
      <c r="N44" s="46">
        <f>K44*950</f>
        <v>39044.999999999993</v>
      </c>
      <c r="O44" s="17">
        <f>N44+M44+J44+J45+J46</f>
        <v>935324.86924399983</v>
      </c>
    </row>
    <row r="45" spans="1:16" x14ac:dyDescent="0.35">
      <c r="A45" s="99"/>
      <c r="B45" s="40" t="s">
        <v>74</v>
      </c>
      <c r="C45" s="89"/>
      <c r="D45" s="41"/>
      <c r="E45" s="42"/>
      <c r="F45" s="43" t="s">
        <v>24</v>
      </c>
      <c r="G45" s="41">
        <v>6</v>
      </c>
      <c r="H45" s="44">
        <v>0.38</v>
      </c>
      <c r="I45" s="41">
        <v>40000</v>
      </c>
      <c r="J45" s="45">
        <f t="shared" ref="J45:J46" si="9">I45*H45</f>
        <v>15200</v>
      </c>
      <c r="K45" s="42"/>
      <c r="L45" s="42"/>
      <c r="M45" s="46"/>
      <c r="N45" s="46"/>
      <c r="O45" s="17"/>
    </row>
    <row r="46" spans="1:16" ht="15.5" x14ac:dyDescent="0.35">
      <c r="A46" s="99"/>
      <c r="B46" s="90"/>
      <c r="C46" s="89"/>
      <c r="D46" s="41"/>
      <c r="E46" s="42"/>
      <c r="F46" s="43" t="s">
        <v>23</v>
      </c>
      <c r="G46" s="13">
        <v>1</v>
      </c>
      <c r="H46" s="62">
        <v>2.13</v>
      </c>
      <c r="I46" s="41">
        <v>150</v>
      </c>
      <c r="J46" s="45">
        <f t="shared" si="9"/>
        <v>319.5</v>
      </c>
      <c r="K46" s="42"/>
      <c r="L46" s="42"/>
      <c r="M46" s="46"/>
      <c r="N46" s="46"/>
      <c r="O46" s="17"/>
    </row>
    <row r="47" spans="1:16" ht="15.5" x14ac:dyDescent="0.35">
      <c r="A47" s="99"/>
      <c r="B47" s="90"/>
      <c r="C47" s="89"/>
      <c r="D47" s="41"/>
      <c r="E47" s="42"/>
      <c r="F47" s="43"/>
      <c r="G47" s="13"/>
      <c r="H47" s="62"/>
      <c r="I47" s="41"/>
      <c r="J47" s="45"/>
      <c r="K47" s="42"/>
      <c r="L47" s="42"/>
      <c r="M47" s="46"/>
      <c r="N47" s="46"/>
      <c r="O47" s="17"/>
    </row>
    <row r="48" spans="1:16" ht="15.5" x14ac:dyDescent="0.35">
      <c r="A48" s="99"/>
      <c r="B48" s="90"/>
      <c r="C48" s="89"/>
      <c r="D48" s="41"/>
      <c r="E48" s="42"/>
      <c r="F48" s="43"/>
      <c r="G48" s="13"/>
      <c r="H48" s="62"/>
      <c r="I48" s="41"/>
      <c r="J48" s="45"/>
      <c r="K48" s="42"/>
      <c r="L48" s="42"/>
      <c r="M48" s="46"/>
      <c r="N48" s="46"/>
      <c r="O48" s="17"/>
    </row>
    <row r="49" spans="1:16" ht="16" thickBot="1" x14ac:dyDescent="0.4">
      <c r="A49" s="99"/>
      <c r="B49" s="47"/>
      <c r="C49" s="48"/>
      <c r="D49" s="48"/>
      <c r="E49" s="49"/>
      <c r="F49" s="50"/>
      <c r="G49" s="22"/>
      <c r="H49" s="23"/>
      <c r="I49" s="48"/>
      <c r="J49" s="51"/>
      <c r="K49" s="52"/>
      <c r="L49" s="52"/>
      <c r="M49" s="72"/>
      <c r="N49" s="72"/>
      <c r="O49" s="68"/>
    </row>
    <row r="50" spans="1:16" ht="16" thickBot="1" x14ac:dyDescent="0.4">
      <c r="A50" s="98"/>
      <c r="B50" s="27"/>
      <c r="C50" s="28"/>
      <c r="D50" s="28"/>
      <c r="E50" s="29">
        <f>SUM(E40:E49)</f>
        <v>43.37</v>
      </c>
      <c r="F50" s="28"/>
      <c r="G50" s="28">
        <f t="shared" ref="G50:O50" si="10">SUM(G40:G49)</f>
        <v>197</v>
      </c>
      <c r="H50" s="29">
        <f t="shared" si="10"/>
        <v>11.350000000000001</v>
      </c>
      <c r="I50" s="28">
        <f t="shared" si="10"/>
        <v>82150</v>
      </c>
      <c r="J50" s="30">
        <f t="shared" si="10"/>
        <v>395539.5</v>
      </c>
      <c r="K50" s="53">
        <f t="shared" si="10"/>
        <v>41.099999999999994</v>
      </c>
      <c r="L50" s="71">
        <f t="shared" si="10"/>
        <v>32.797799999999995</v>
      </c>
      <c r="M50" s="67">
        <f t="shared" si="10"/>
        <v>509480.36924399988</v>
      </c>
      <c r="N50" s="31">
        <f t="shared" si="10"/>
        <v>89265</v>
      </c>
      <c r="O50" s="32">
        <f t="shared" si="10"/>
        <v>994284.86924399983</v>
      </c>
      <c r="P50" t="s">
        <v>26</v>
      </c>
    </row>
    <row r="51" spans="1:16" ht="15" thickBot="1" x14ac:dyDescent="0.4"/>
    <row r="52" spans="1:16" x14ac:dyDescent="0.35">
      <c r="A52" s="98">
        <v>6</v>
      </c>
      <c r="B52" s="110" t="s">
        <v>0</v>
      </c>
      <c r="C52" s="102" t="s">
        <v>1</v>
      </c>
      <c r="D52" s="102" t="s">
        <v>2</v>
      </c>
      <c r="E52" s="108" t="s">
        <v>3</v>
      </c>
      <c r="F52" s="112" t="s">
        <v>4</v>
      </c>
      <c r="G52" s="113"/>
      <c r="H52" s="113"/>
      <c r="I52" s="113"/>
      <c r="J52" s="114"/>
      <c r="K52" s="102" t="s">
        <v>5</v>
      </c>
      <c r="L52" s="102" t="s">
        <v>6</v>
      </c>
      <c r="M52" s="106" t="s">
        <v>7</v>
      </c>
      <c r="N52" s="108" t="s">
        <v>8</v>
      </c>
      <c r="O52" s="100" t="s">
        <v>9</v>
      </c>
    </row>
    <row r="53" spans="1:16" ht="15" thickBot="1" x14ac:dyDescent="0.4">
      <c r="A53" s="98"/>
      <c r="B53" s="111"/>
      <c r="C53" s="103"/>
      <c r="D53" s="103"/>
      <c r="E53" s="109"/>
      <c r="F53" s="3" t="s">
        <v>10</v>
      </c>
      <c r="G53" s="3" t="s">
        <v>11</v>
      </c>
      <c r="H53" s="3" t="s">
        <v>12</v>
      </c>
      <c r="I53" s="3" t="s">
        <v>13</v>
      </c>
      <c r="J53" s="3" t="s">
        <v>14</v>
      </c>
      <c r="K53" s="103"/>
      <c r="L53" s="103"/>
      <c r="M53" s="107"/>
      <c r="N53" s="109"/>
      <c r="O53" s="101"/>
    </row>
    <row r="54" spans="1:16" x14ac:dyDescent="0.35">
      <c r="A54" s="99"/>
      <c r="B54" s="33">
        <v>1</v>
      </c>
      <c r="C54" s="34" t="s">
        <v>25</v>
      </c>
      <c r="D54" s="34"/>
      <c r="E54" s="35">
        <v>43.01</v>
      </c>
      <c r="F54" s="36" t="s">
        <v>24</v>
      </c>
      <c r="G54" s="34">
        <v>48</v>
      </c>
      <c r="H54" s="37">
        <v>1.39</v>
      </c>
      <c r="I54" s="34">
        <v>40000</v>
      </c>
      <c r="J54" s="97">
        <f t="shared" ref="J54:J55" si="11">I54*H54</f>
        <v>55599.999999999993</v>
      </c>
      <c r="K54" s="35">
        <f>E54-(H54+H55)/5</f>
        <v>42.251999999999995</v>
      </c>
      <c r="L54" s="8">
        <f>K54*96.6%</f>
        <v>40.815431999999994</v>
      </c>
      <c r="M54" s="39">
        <f>L54*14432</f>
        <v>589048.31462399988</v>
      </c>
      <c r="N54" s="39">
        <f>K54*700</f>
        <v>29576.399999999998</v>
      </c>
      <c r="O54" s="9">
        <f>N54+M54+J54+J55</f>
        <v>764224.7146239999</v>
      </c>
    </row>
    <row r="55" spans="1:16" ht="15.5" x14ac:dyDescent="0.35">
      <c r="A55" s="99"/>
      <c r="B55" s="40" t="s">
        <v>21</v>
      </c>
      <c r="C55" s="41" t="s">
        <v>110</v>
      </c>
      <c r="D55" s="41"/>
      <c r="E55" s="42"/>
      <c r="F55" s="43" t="s">
        <v>24</v>
      </c>
      <c r="G55" s="13">
        <v>36</v>
      </c>
      <c r="H55" s="62">
        <v>2.4</v>
      </c>
      <c r="I55" s="41">
        <v>37500</v>
      </c>
      <c r="J55" s="45">
        <f t="shared" si="11"/>
        <v>90000</v>
      </c>
      <c r="K55" s="42"/>
      <c r="L55" s="42"/>
      <c r="M55" s="46"/>
      <c r="N55" s="46"/>
      <c r="O55" s="17"/>
    </row>
    <row r="56" spans="1:16" ht="15.5" x14ac:dyDescent="0.35">
      <c r="A56" s="99"/>
      <c r="B56" s="40"/>
      <c r="C56" s="41"/>
      <c r="D56" s="41"/>
      <c r="E56" s="42"/>
      <c r="F56" s="43"/>
      <c r="G56" s="13"/>
      <c r="H56" s="62"/>
      <c r="I56" s="41"/>
      <c r="J56" s="45"/>
      <c r="K56" s="42"/>
      <c r="L56" s="42"/>
      <c r="M56" s="46"/>
      <c r="N56" s="46"/>
      <c r="O56" s="17"/>
    </row>
    <row r="57" spans="1:16" ht="16" thickBot="1" x14ac:dyDescent="0.4">
      <c r="A57" s="99"/>
      <c r="B57" s="47"/>
      <c r="C57" s="48"/>
      <c r="D57" s="48"/>
      <c r="E57" s="49"/>
      <c r="F57" s="50"/>
      <c r="G57" s="22"/>
      <c r="H57" s="23"/>
      <c r="I57" s="48"/>
      <c r="J57" s="51"/>
      <c r="K57" s="52"/>
      <c r="L57" s="52"/>
      <c r="M57" s="72"/>
      <c r="N57" s="72"/>
      <c r="O57" s="68"/>
    </row>
    <row r="58" spans="1:16" ht="16" thickBot="1" x14ac:dyDescent="0.4">
      <c r="A58" s="98"/>
      <c r="B58" s="27"/>
      <c r="C58" s="28"/>
      <c r="D58" s="28"/>
      <c r="E58" s="29">
        <f>SUM(E54:E56)</f>
        <v>43.01</v>
      </c>
      <c r="F58" s="28"/>
      <c r="G58" s="28">
        <f t="shared" ref="G58:O58" si="12">SUM(G54:G57)</f>
        <v>84</v>
      </c>
      <c r="H58" s="29">
        <f t="shared" si="12"/>
        <v>3.79</v>
      </c>
      <c r="I58" s="28">
        <f t="shared" si="12"/>
        <v>77500</v>
      </c>
      <c r="J58" s="30">
        <f t="shared" si="12"/>
        <v>145600</v>
      </c>
      <c r="K58" s="53">
        <f t="shared" si="12"/>
        <v>42.251999999999995</v>
      </c>
      <c r="L58" s="71">
        <f t="shared" si="12"/>
        <v>40.815431999999994</v>
      </c>
      <c r="M58" s="67">
        <f t="shared" si="12"/>
        <v>589048.31462399988</v>
      </c>
      <c r="N58" s="31">
        <f t="shared" si="12"/>
        <v>29576.399999999998</v>
      </c>
      <c r="O58" s="32">
        <f t="shared" si="12"/>
        <v>764224.7146239999</v>
      </c>
    </row>
  </sheetData>
  <mergeCells count="67">
    <mergeCell ref="O14:O15"/>
    <mergeCell ref="F14:J14"/>
    <mergeCell ref="K14:K15"/>
    <mergeCell ref="L14:L15"/>
    <mergeCell ref="M14:M15"/>
    <mergeCell ref="N14:N15"/>
    <mergeCell ref="A14:A20"/>
    <mergeCell ref="B14:B15"/>
    <mergeCell ref="C14:C15"/>
    <mergeCell ref="D14:D15"/>
    <mergeCell ref="E14:E15"/>
    <mergeCell ref="A2:A12"/>
    <mergeCell ref="N2:N3"/>
    <mergeCell ref="O2:O3"/>
    <mergeCell ref="B2:B3"/>
    <mergeCell ref="C2:C3"/>
    <mergeCell ref="D2:D3"/>
    <mergeCell ref="E2:E3"/>
    <mergeCell ref="F2:J2"/>
    <mergeCell ref="K2:K3"/>
    <mergeCell ref="L2:L3"/>
    <mergeCell ref="M2:M3"/>
    <mergeCell ref="A22:A28"/>
    <mergeCell ref="B22:B23"/>
    <mergeCell ref="C22:C23"/>
    <mergeCell ref="D22:D23"/>
    <mergeCell ref="E22:E23"/>
    <mergeCell ref="O22:O23"/>
    <mergeCell ref="F22:J22"/>
    <mergeCell ref="K22:K23"/>
    <mergeCell ref="L22:L23"/>
    <mergeCell ref="M22:M23"/>
    <mergeCell ref="N22:N23"/>
    <mergeCell ref="A30:A36"/>
    <mergeCell ref="B30:B31"/>
    <mergeCell ref="C30:C31"/>
    <mergeCell ref="D30:D31"/>
    <mergeCell ref="E30:E31"/>
    <mergeCell ref="O30:O31"/>
    <mergeCell ref="F30:J30"/>
    <mergeCell ref="K30:K31"/>
    <mergeCell ref="L30:L31"/>
    <mergeCell ref="M30:M31"/>
    <mergeCell ref="N30:N31"/>
    <mergeCell ref="A38:A50"/>
    <mergeCell ref="B38:B39"/>
    <mergeCell ref="C38:C39"/>
    <mergeCell ref="D38:D39"/>
    <mergeCell ref="E38:E39"/>
    <mergeCell ref="O38:O39"/>
    <mergeCell ref="B42:C42"/>
    <mergeCell ref="F38:J38"/>
    <mergeCell ref="K38:K39"/>
    <mergeCell ref="L38:L39"/>
    <mergeCell ref="M38:M39"/>
    <mergeCell ref="N38:N39"/>
    <mergeCell ref="A52:A58"/>
    <mergeCell ref="B52:B53"/>
    <mergeCell ref="C52:C53"/>
    <mergeCell ref="D52:D53"/>
    <mergeCell ref="E52:E53"/>
    <mergeCell ref="O52:O53"/>
    <mergeCell ref="F52:J52"/>
    <mergeCell ref="K52:K53"/>
    <mergeCell ref="L52:L53"/>
    <mergeCell ref="M52:M53"/>
    <mergeCell ref="N52:N53"/>
  </mergeCells>
  <pageMargins left="0.7" right="0.7" top="0.75" bottom="0.75" header="0.3" footer="0.3"/>
  <pageSetup paperSize="9" scale="54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AF4-A007-4D69-8B10-4B1F9F4720C1}">
  <sheetPr>
    <pageSetUpPr fitToPage="1"/>
  </sheetPr>
  <dimension ref="A1:R196"/>
  <sheetViews>
    <sheetView topLeftCell="A189" workbookViewId="0">
      <selection activeCell="I177" sqref="I177"/>
    </sheetView>
  </sheetViews>
  <sheetFormatPr defaultRowHeight="14.5" x14ac:dyDescent="0.35"/>
  <cols>
    <col min="3" max="3" width="9.08984375" customWidth="1"/>
    <col min="4" max="4" width="18.90625" customWidth="1"/>
    <col min="5" max="5" width="9.36328125" bestFit="1" customWidth="1"/>
    <col min="6" max="6" width="14.54296875" bestFit="1" customWidth="1"/>
    <col min="13" max="13" width="11.54296875" bestFit="1" customWidth="1"/>
  </cols>
  <sheetData>
    <row r="1" spans="1:16" ht="15" thickBot="1" x14ac:dyDescent="0.4"/>
    <row r="2" spans="1:16" x14ac:dyDescent="0.35">
      <c r="A2" s="99">
        <v>1</v>
      </c>
      <c r="B2" s="110" t="s">
        <v>0</v>
      </c>
      <c r="C2" s="102" t="s">
        <v>1</v>
      </c>
      <c r="D2" s="102" t="s">
        <v>2</v>
      </c>
      <c r="E2" s="108" t="s">
        <v>3</v>
      </c>
      <c r="F2" s="102" t="s">
        <v>4</v>
      </c>
      <c r="G2" s="102"/>
      <c r="H2" s="102"/>
      <c r="I2" s="102"/>
      <c r="J2" s="102"/>
      <c r="K2" s="102" t="s">
        <v>5</v>
      </c>
      <c r="L2" s="104" t="s">
        <v>6</v>
      </c>
      <c r="M2" s="106" t="s">
        <v>7</v>
      </c>
      <c r="N2" s="108" t="s">
        <v>8</v>
      </c>
      <c r="O2" s="100" t="s">
        <v>9</v>
      </c>
    </row>
    <row r="3" spans="1:16" ht="15" customHeight="1" thickBot="1" x14ac:dyDescent="0.4">
      <c r="A3" s="99"/>
      <c r="B3" s="111"/>
      <c r="C3" s="103"/>
      <c r="D3" s="103"/>
      <c r="E3" s="109"/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103"/>
      <c r="L3" s="105"/>
      <c r="M3" s="107"/>
      <c r="N3" s="109"/>
      <c r="O3" s="101"/>
    </row>
    <row r="4" spans="1:16" ht="15" customHeight="1" x14ac:dyDescent="0.35">
      <c r="A4" s="99"/>
      <c r="B4" s="1">
        <v>1</v>
      </c>
      <c r="C4" s="2" t="s">
        <v>32</v>
      </c>
      <c r="D4" s="2"/>
      <c r="E4" s="4">
        <v>171.28</v>
      </c>
      <c r="F4" s="5" t="s">
        <v>28</v>
      </c>
      <c r="G4" s="2">
        <v>315</v>
      </c>
      <c r="H4" s="37">
        <v>2.16</v>
      </c>
      <c r="I4" s="2">
        <v>10200</v>
      </c>
      <c r="J4" s="7">
        <f>I4*H4</f>
        <v>22032</v>
      </c>
      <c r="K4" s="8">
        <f>E4-(H4+H5+H6+H7+H8)/5</f>
        <v>143.166</v>
      </c>
      <c r="L4" s="8">
        <f>K4*80.5%</f>
        <v>115.24863000000001</v>
      </c>
      <c r="M4" s="7">
        <f>L4*15000</f>
        <v>1728729.4500000002</v>
      </c>
      <c r="N4" s="7">
        <f>K4*350</f>
        <v>50108.1</v>
      </c>
      <c r="O4" s="9">
        <f>N4+M4+J4+J5+J6+J7+M5+J8+N5</f>
        <v>2037367.2500000002</v>
      </c>
    </row>
    <row r="5" spans="1:16" ht="15" customHeight="1" x14ac:dyDescent="0.35">
      <c r="A5" s="99"/>
      <c r="B5" s="10" t="s">
        <v>16</v>
      </c>
      <c r="C5" s="11"/>
      <c r="D5" s="11"/>
      <c r="E5" s="12"/>
      <c r="F5" s="13" t="s">
        <v>28</v>
      </c>
      <c r="G5" s="11">
        <v>1808</v>
      </c>
      <c r="H5" s="44">
        <v>23.18</v>
      </c>
      <c r="I5" s="11">
        <v>9000</v>
      </c>
      <c r="J5" s="15">
        <f>I5*H5</f>
        <v>208620</v>
      </c>
      <c r="K5" s="16"/>
      <c r="L5" s="16"/>
      <c r="M5" s="15"/>
      <c r="N5" s="15">
        <f>5200+2060+2000</f>
        <v>9260</v>
      </c>
      <c r="O5" s="17"/>
    </row>
    <row r="6" spans="1:16" ht="15" customHeight="1" x14ac:dyDescent="0.35">
      <c r="A6" s="99"/>
      <c r="B6" s="10"/>
      <c r="C6" s="11"/>
      <c r="D6" s="11"/>
      <c r="E6" s="12"/>
      <c r="F6" s="13" t="s">
        <v>15</v>
      </c>
      <c r="G6" s="11">
        <v>19</v>
      </c>
      <c r="H6" s="44">
        <v>48.57</v>
      </c>
      <c r="I6" s="11">
        <v>150</v>
      </c>
      <c r="J6" s="15">
        <f>I6*H6</f>
        <v>7285.5</v>
      </c>
      <c r="K6" s="16"/>
      <c r="L6" s="16"/>
      <c r="M6" s="15"/>
      <c r="N6" s="15"/>
      <c r="O6" s="17"/>
    </row>
    <row r="7" spans="1:16" ht="15" customHeight="1" x14ac:dyDescent="0.35">
      <c r="A7" s="99"/>
      <c r="B7" s="10"/>
      <c r="C7" s="11"/>
      <c r="D7" s="11"/>
      <c r="E7" s="12"/>
      <c r="F7" s="13" t="s">
        <v>23</v>
      </c>
      <c r="G7" s="11">
        <v>33</v>
      </c>
      <c r="H7" s="44">
        <v>52.91</v>
      </c>
      <c r="I7" s="11">
        <v>170</v>
      </c>
      <c r="J7" s="15">
        <f>I7*H7</f>
        <v>8994.6999999999989</v>
      </c>
      <c r="K7" s="16"/>
      <c r="L7" s="16"/>
      <c r="M7" s="15"/>
      <c r="N7" s="15"/>
      <c r="O7" s="17"/>
    </row>
    <row r="8" spans="1:16" ht="15" customHeight="1" x14ac:dyDescent="0.35">
      <c r="A8" s="99"/>
      <c r="B8" s="10"/>
      <c r="C8" s="11"/>
      <c r="D8" s="11"/>
      <c r="E8" s="12"/>
      <c r="F8" s="13" t="s">
        <v>22</v>
      </c>
      <c r="G8" s="11">
        <v>4</v>
      </c>
      <c r="H8" s="44">
        <v>13.75</v>
      </c>
      <c r="I8" s="11">
        <v>170</v>
      </c>
      <c r="J8" s="15">
        <f>I8*H8</f>
        <v>2337.5</v>
      </c>
      <c r="K8" s="16"/>
      <c r="L8" s="16"/>
      <c r="M8" s="15"/>
      <c r="N8" s="15"/>
      <c r="O8" s="17"/>
    </row>
    <row r="9" spans="1:16" ht="15" customHeight="1" x14ac:dyDescent="0.35">
      <c r="A9" s="99"/>
      <c r="B9" s="10"/>
      <c r="C9" s="11"/>
      <c r="D9" s="11"/>
      <c r="E9" s="12"/>
      <c r="F9" s="13"/>
      <c r="G9" s="11"/>
      <c r="H9" s="44"/>
      <c r="I9" s="11"/>
      <c r="J9" s="15"/>
      <c r="K9" s="16"/>
      <c r="L9" s="16"/>
      <c r="M9" s="15"/>
      <c r="N9" s="15"/>
      <c r="O9" s="17"/>
    </row>
    <row r="10" spans="1:16" ht="15" customHeight="1" x14ac:dyDescent="0.35">
      <c r="A10" s="99"/>
      <c r="B10" s="10">
        <v>2</v>
      </c>
      <c r="C10" s="11"/>
      <c r="D10" s="80"/>
      <c r="E10" s="18">
        <v>18.87</v>
      </c>
      <c r="F10" s="13" t="s">
        <v>28</v>
      </c>
      <c r="G10" s="11">
        <v>1</v>
      </c>
      <c r="H10" s="14">
        <v>1</v>
      </c>
      <c r="I10" s="11">
        <v>11000</v>
      </c>
      <c r="J10" s="15">
        <f>I10*H10</f>
        <v>11000</v>
      </c>
      <c r="K10" s="16">
        <f>E10-(H10+H11)/5</f>
        <v>18.670000000000002</v>
      </c>
      <c r="L10" s="16">
        <f>K10*80.5%</f>
        <v>15.029350000000003</v>
      </c>
      <c r="M10" s="15">
        <f>L10*14727</f>
        <v>221337.23745000004</v>
      </c>
      <c r="N10" s="15">
        <f>K10*350</f>
        <v>6534.5000000000009</v>
      </c>
      <c r="O10" s="17">
        <f>N10+J10+M10+J11</f>
        <v>238871.73745000004</v>
      </c>
    </row>
    <row r="11" spans="1:16" ht="15" customHeight="1" x14ac:dyDescent="0.35">
      <c r="A11" s="99"/>
      <c r="B11" s="10" t="s">
        <v>16</v>
      </c>
      <c r="C11" s="11"/>
      <c r="D11" s="80"/>
      <c r="E11" s="12"/>
      <c r="F11" s="13"/>
      <c r="G11" s="11"/>
      <c r="H11" s="14"/>
      <c r="I11" s="11"/>
      <c r="J11" s="15"/>
      <c r="K11" s="16"/>
      <c r="L11" s="16"/>
      <c r="M11" s="15"/>
      <c r="N11" s="15"/>
      <c r="O11" s="17"/>
    </row>
    <row r="12" spans="1:16" ht="15" customHeight="1" x14ac:dyDescent="0.35">
      <c r="A12" s="99"/>
      <c r="B12" s="10"/>
      <c r="C12" s="11"/>
      <c r="D12" s="11"/>
      <c r="E12" s="12"/>
      <c r="F12" s="13"/>
      <c r="G12" s="11"/>
      <c r="H12" s="14"/>
      <c r="I12" s="11"/>
      <c r="J12" s="15"/>
      <c r="K12" s="16"/>
      <c r="L12" s="16"/>
      <c r="M12" s="15"/>
      <c r="N12" s="15"/>
      <c r="O12" s="17"/>
    </row>
    <row r="13" spans="1:16" ht="16" thickBot="1" x14ac:dyDescent="0.4">
      <c r="A13" s="99"/>
      <c r="B13" s="19"/>
      <c r="C13" s="20"/>
      <c r="D13" s="20"/>
      <c r="E13" s="21"/>
      <c r="F13" s="22"/>
      <c r="G13" s="22"/>
      <c r="H13" s="23"/>
      <c r="I13" s="20"/>
      <c r="J13" s="24"/>
      <c r="K13" s="21"/>
      <c r="L13" s="21"/>
      <c r="M13" s="21"/>
      <c r="N13" s="25"/>
      <c r="O13" s="26"/>
    </row>
    <row r="14" spans="1:16" ht="16" thickBot="1" x14ac:dyDescent="0.4">
      <c r="A14" s="99"/>
      <c r="B14" s="27"/>
      <c r="C14" s="28"/>
      <c r="D14" s="28"/>
      <c r="E14" s="29">
        <f>SUM(E4:E13)</f>
        <v>190.15</v>
      </c>
      <c r="F14" s="28"/>
      <c r="G14" s="28">
        <f>SUM(G4:G13)</f>
        <v>2180</v>
      </c>
      <c r="H14" s="29">
        <f>SUM(H4:H13)</f>
        <v>141.57</v>
      </c>
      <c r="I14" s="28"/>
      <c r="J14" s="30">
        <f t="shared" ref="J14:O14" si="0">SUM(J4:J13)</f>
        <v>260269.7</v>
      </c>
      <c r="K14" s="29">
        <f t="shared" si="0"/>
        <v>161.83600000000001</v>
      </c>
      <c r="L14" s="29">
        <f t="shared" si="0"/>
        <v>130.27798000000001</v>
      </c>
      <c r="M14" s="30">
        <f t="shared" si="0"/>
        <v>1950066.6874500003</v>
      </c>
      <c r="N14" s="31">
        <f t="shared" si="0"/>
        <v>65902.600000000006</v>
      </c>
      <c r="O14" s="32">
        <f t="shared" si="0"/>
        <v>2276238.9874500004</v>
      </c>
      <c r="P14" t="s">
        <v>26</v>
      </c>
    </row>
    <row r="15" spans="1:16" ht="15" thickBot="1" x14ac:dyDescent="0.4"/>
    <row r="16" spans="1:16" x14ac:dyDescent="0.35">
      <c r="A16" s="99">
        <v>2</v>
      </c>
      <c r="B16" s="110" t="s">
        <v>0</v>
      </c>
      <c r="C16" s="102" t="s">
        <v>1</v>
      </c>
      <c r="D16" s="102" t="s">
        <v>2</v>
      </c>
      <c r="E16" s="108" t="s">
        <v>3</v>
      </c>
      <c r="F16" s="102" t="s">
        <v>4</v>
      </c>
      <c r="G16" s="102"/>
      <c r="H16" s="102"/>
      <c r="I16" s="102"/>
      <c r="J16" s="102"/>
      <c r="K16" s="102" t="s">
        <v>5</v>
      </c>
      <c r="L16" s="104" t="s">
        <v>6</v>
      </c>
      <c r="M16" s="106" t="s">
        <v>7</v>
      </c>
      <c r="N16" s="108" t="s">
        <v>8</v>
      </c>
      <c r="O16" s="100" t="s">
        <v>9</v>
      </c>
    </row>
    <row r="17" spans="1:16" ht="15" thickBot="1" x14ac:dyDescent="0.4">
      <c r="A17" s="99"/>
      <c r="B17" s="111"/>
      <c r="C17" s="103"/>
      <c r="D17" s="103"/>
      <c r="E17" s="109"/>
      <c r="F17" s="3" t="s">
        <v>10</v>
      </c>
      <c r="G17" s="3" t="s">
        <v>11</v>
      </c>
      <c r="H17" s="3" t="s">
        <v>12</v>
      </c>
      <c r="I17" s="3" t="s">
        <v>13</v>
      </c>
      <c r="J17" s="3" t="s">
        <v>14</v>
      </c>
      <c r="K17" s="103"/>
      <c r="L17" s="105"/>
      <c r="M17" s="107"/>
      <c r="N17" s="109"/>
      <c r="O17" s="101"/>
    </row>
    <row r="18" spans="1:16" ht="15" x14ac:dyDescent="0.35">
      <c r="A18" s="99"/>
      <c r="B18" s="81">
        <v>1</v>
      </c>
      <c r="C18" s="63"/>
      <c r="D18" s="63"/>
      <c r="E18" s="4">
        <v>90.39</v>
      </c>
      <c r="F18" s="5" t="s">
        <v>29</v>
      </c>
      <c r="G18" s="2">
        <v>628</v>
      </c>
      <c r="H18" s="6">
        <v>4.47</v>
      </c>
      <c r="I18" s="2">
        <v>10200</v>
      </c>
      <c r="J18" s="7">
        <f>I18*H18</f>
        <v>45594</v>
      </c>
      <c r="K18" s="8">
        <f>E18-(H18+H19+H20)/5</f>
        <v>66.69</v>
      </c>
      <c r="L18" s="8">
        <f>K18*80.5%</f>
        <v>53.685450000000003</v>
      </c>
      <c r="M18" s="7">
        <f>L18*14727</f>
        <v>790625.62215000007</v>
      </c>
      <c r="N18" s="7">
        <f>K18*350</f>
        <v>23341.5</v>
      </c>
      <c r="O18" s="9">
        <f>N18+J18+M18+J19+J20</f>
        <v>1097718.6221500002</v>
      </c>
    </row>
    <row r="19" spans="1:16" ht="15" x14ac:dyDescent="0.35">
      <c r="A19" s="99"/>
      <c r="B19" s="55" t="s">
        <v>16</v>
      </c>
      <c r="C19" s="3"/>
      <c r="D19" s="3"/>
      <c r="E19" s="59"/>
      <c r="F19" s="54" t="s">
        <v>31</v>
      </c>
      <c r="G19" s="3">
        <v>108</v>
      </c>
      <c r="H19" s="66">
        <v>23.96</v>
      </c>
      <c r="I19" s="3">
        <v>9000</v>
      </c>
      <c r="J19" s="15">
        <f>I19*H19</f>
        <v>215640</v>
      </c>
      <c r="K19" s="57"/>
      <c r="L19" s="57"/>
      <c r="M19" s="56"/>
      <c r="N19" s="56"/>
      <c r="O19" s="58"/>
    </row>
    <row r="20" spans="1:16" ht="15" x14ac:dyDescent="0.35">
      <c r="A20" s="99"/>
      <c r="B20" s="55"/>
      <c r="C20" s="3"/>
      <c r="D20" s="3"/>
      <c r="E20" s="59"/>
      <c r="F20" s="54" t="s">
        <v>22</v>
      </c>
      <c r="G20" s="3">
        <v>216</v>
      </c>
      <c r="H20" s="66">
        <v>90.07</v>
      </c>
      <c r="I20" s="3">
        <v>250</v>
      </c>
      <c r="J20" s="15">
        <f>I20*H20</f>
        <v>22517.5</v>
      </c>
      <c r="K20" s="57"/>
      <c r="L20" s="57"/>
      <c r="M20" s="56"/>
      <c r="N20" s="56"/>
      <c r="O20" s="58"/>
    </row>
    <row r="21" spans="1:16" ht="15" x14ac:dyDescent="0.35">
      <c r="A21" s="99"/>
      <c r="B21" s="55"/>
      <c r="C21" s="3"/>
      <c r="D21" s="3"/>
      <c r="E21" s="59"/>
      <c r="F21" s="54"/>
      <c r="G21" s="3"/>
      <c r="H21" s="66"/>
      <c r="I21" s="3"/>
      <c r="J21" s="56"/>
      <c r="K21" s="57"/>
      <c r="L21" s="57"/>
      <c r="M21" s="56"/>
      <c r="N21" s="56"/>
      <c r="O21" s="58"/>
    </row>
    <row r="22" spans="1:16" ht="15" x14ac:dyDescent="0.35">
      <c r="A22" s="99"/>
      <c r="B22" s="55"/>
      <c r="C22" s="3"/>
      <c r="D22" s="3"/>
      <c r="E22" s="59"/>
      <c r="F22" s="54"/>
      <c r="G22" s="3"/>
      <c r="H22" s="66"/>
      <c r="I22" s="3"/>
      <c r="J22" s="56"/>
      <c r="K22" s="57"/>
      <c r="L22" s="57"/>
      <c r="M22" s="56"/>
      <c r="N22" s="56"/>
      <c r="O22" s="58"/>
    </row>
    <row r="23" spans="1:16" ht="15" x14ac:dyDescent="0.35">
      <c r="A23" s="99"/>
      <c r="B23" s="55">
        <v>2</v>
      </c>
      <c r="C23" s="3"/>
      <c r="D23" s="3"/>
      <c r="E23" s="18">
        <v>11.89</v>
      </c>
      <c r="F23" s="13" t="s">
        <v>29</v>
      </c>
      <c r="G23" s="11">
        <v>6</v>
      </c>
      <c r="H23" s="14">
        <v>2.08</v>
      </c>
      <c r="I23" s="11">
        <v>9000</v>
      </c>
      <c r="J23" s="15">
        <f>I23*H23</f>
        <v>18720</v>
      </c>
      <c r="K23" s="16">
        <f>E23-(H23+H24)/5</f>
        <v>7.4640000000000004</v>
      </c>
      <c r="L23" s="16">
        <f>K23*80.5%</f>
        <v>6.0085200000000007</v>
      </c>
      <c r="M23" s="15">
        <f>L23*14727</f>
        <v>88487.474040000016</v>
      </c>
      <c r="N23" s="15">
        <f>K23*350</f>
        <v>2612.4</v>
      </c>
      <c r="O23" s="17">
        <f>N23+J23+M23+J24</f>
        <v>470719.87404000002</v>
      </c>
    </row>
    <row r="24" spans="1:16" ht="15" x14ac:dyDescent="0.35">
      <c r="A24" s="99"/>
      <c r="B24" s="55" t="s">
        <v>16</v>
      </c>
      <c r="C24" s="3"/>
      <c r="D24" s="3"/>
      <c r="E24" s="12"/>
      <c r="F24" s="13" t="s">
        <v>36</v>
      </c>
      <c r="G24" s="11">
        <v>2</v>
      </c>
      <c r="H24" s="14">
        <v>20.05</v>
      </c>
      <c r="I24" s="11">
        <v>18000</v>
      </c>
      <c r="J24" s="15">
        <f>I24*H24</f>
        <v>360900</v>
      </c>
      <c r="K24" s="16"/>
      <c r="L24" s="16"/>
      <c r="M24" s="15"/>
      <c r="N24" s="15"/>
      <c r="O24" s="17"/>
    </row>
    <row r="25" spans="1:16" ht="15" x14ac:dyDescent="0.35">
      <c r="A25" s="99"/>
      <c r="B25" s="55"/>
      <c r="C25" s="3"/>
      <c r="D25" s="3"/>
      <c r="E25" s="12"/>
      <c r="F25" s="13"/>
      <c r="G25" s="11"/>
      <c r="H25" s="14"/>
      <c r="I25" s="11"/>
      <c r="J25" s="15"/>
      <c r="K25" s="16"/>
      <c r="L25" s="16"/>
      <c r="M25" s="15"/>
      <c r="N25" s="15"/>
      <c r="O25" s="17"/>
    </row>
    <row r="26" spans="1:16" ht="15" x14ac:dyDescent="0.35">
      <c r="A26" s="99"/>
      <c r="B26" s="55"/>
      <c r="C26" s="3"/>
      <c r="D26" s="3"/>
      <c r="E26" s="12"/>
      <c r="F26" s="13"/>
      <c r="G26" s="11"/>
      <c r="H26" s="14"/>
      <c r="I26" s="11"/>
      <c r="J26" s="15"/>
      <c r="K26" s="16"/>
      <c r="L26" s="16"/>
      <c r="M26" s="15"/>
      <c r="N26" s="15"/>
      <c r="O26" s="17"/>
    </row>
    <row r="27" spans="1:16" ht="16" thickBot="1" x14ac:dyDescent="0.4">
      <c r="A27" s="99"/>
      <c r="B27" s="19"/>
      <c r="C27" s="20"/>
      <c r="D27" s="20"/>
      <c r="E27" s="21"/>
      <c r="F27" s="22"/>
      <c r="G27" s="22"/>
      <c r="H27" s="23"/>
      <c r="I27" s="20"/>
      <c r="J27" s="24"/>
      <c r="K27" s="21"/>
      <c r="L27" s="21"/>
      <c r="M27" s="21"/>
      <c r="N27" s="25"/>
      <c r="O27" s="26"/>
    </row>
    <row r="28" spans="1:16" ht="16" thickBot="1" x14ac:dyDescent="0.4">
      <c r="A28" s="99"/>
      <c r="B28" s="27"/>
      <c r="C28" s="28"/>
      <c r="D28" s="28"/>
      <c r="E28" s="29">
        <f>SUM(E18:E27)</f>
        <v>102.28</v>
      </c>
      <c r="F28" s="28"/>
      <c r="G28" s="28">
        <f>SUM(G18:G27)</f>
        <v>960</v>
      </c>
      <c r="H28" s="29">
        <f>SUM(H18:H27)</f>
        <v>140.63</v>
      </c>
      <c r="I28" s="28"/>
      <c r="J28" s="30">
        <f t="shared" ref="J28:O28" si="1">SUM(J18:J27)</f>
        <v>663371.5</v>
      </c>
      <c r="K28" s="29">
        <f t="shared" si="1"/>
        <v>74.153999999999996</v>
      </c>
      <c r="L28" s="29">
        <f t="shared" si="1"/>
        <v>59.693970000000007</v>
      </c>
      <c r="M28" s="30">
        <f t="shared" si="1"/>
        <v>879113.09619000007</v>
      </c>
      <c r="N28" s="31">
        <f t="shared" si="1"/>
        <v>25953.9</v>
      </c>
      <c r="O28" s="32">
        <f t="shared" si="1"/>
        <v>1568438.4961900003</v>
      </c>
      <c r="P28" t="s">
        <v>26</v>
      </c>
    </row>
    <row r="29" spans="1:16" ht="15" thickBot="1" x14ac:dyDescent="0.4"/>
    <row r="30" spans="1:16" x14ac:dyDescent="0.35">
      <c r="A30" s="99">
        <v>3</v>
      </c>
      <c r="B30" s="110" t="s">
        <v>0</v>
      </c>
      <c r="C30" s="102" t="s">
        <v>1</v>
      </c>
      <c r="D30" s="102" t="s">
        <v>2</v>
      </c>
      <c r="E30" s="108" t="s">
        <v>3</v>
      </c>
      <c r="F30" s="102" t="s">
        <v>4</v>
      </c>
      <c r="G30" s="102"/>
      <c r="H30" s="102"/>
      <c r="I30" s="102"/>
      <c r="J30" s="102"/>
      <c r="K30" s="102" t="s">
        <v>5</v>
      </c>
      <c r="L30" s="104" t="s">
        <v>6</v>
      </c>
      <c r="M30" s="106" t="s">
        <v>7</v>
      </c>
      <c r="N30" s="108" t="s">
        <v>8</v>
      </c>
      <c r="O30" s="100" t="s">
        <v>9</v>
      </c>
    </row>
    <row r="31" spans="1:16" ht="15" thickBot="1" x14ac:dyDescent="0.4">
      <c r="A31" s="99"/>
      <c r="B31" s="111"/>
      <c r="C31" s="103"/>
      <c r="D31" s="103"/>
      <c r="E31" s="109"/>
      <c r="F31" s="3" t="s">
        <v>10</v>
      </c>
      <c r="G31" s="3" t="s">
        <v>11</v>
      </c>
      <c r="H31" s="3" t="s">
        <v>12</v>
      </c>
      <c r="I31" s="3" t="s">
        <v>13</v>
      </c>
      <c r="J31" s="3" t="s">
        <v>14</v>
      </c>
      <c r="K31" s="103"/>
      <c r="L31" s="105"/>
      <c r="M31" s="107"/>
      <c r="N31" s="109"/>
      <c r="O31" s="101"/>
    </row>
    <row r="32" spans="1:16" ht="15" x14ac:dyDescent="0.35">
      <c r="A32" s="99"/>
      <c r="B32" s="1">
        <v>1</v>
      </c>
      <c r="C32" s="2" t="s">
        <v>49</v>
      </c>
      <c r="D32" s="2"/>
      <c r="E32" s="4">
        <v>20.05</v>
      </c>
      <c r="F32" s="5" t="s">
        <v>24</v>
      </c>
      <c r="G32" s="2">
        <v>340</v>
      </c>
      <c r="H32" s="37">
        <v>1.61</v>
      </c>
      <c r="I32" s="2">
        <v>40000</v>
      </c>
      <c r="J32" s="7">
        <f>I32*H32</f>
        <v>64400.000000000007</v>
      </c>
      <c r="K32" s="8">
        <f>E32-(H32+H33+H34+H35)/5</f>
        <v>19.440000000000001</v>
      </c>
      <c r="L32" s="8">
        <f>K32*80.5%</f>
        <v>15.649200000000002</v>
      </c>
      <c r="M32" s="7">
        <f>L32*14920</f>
        <v>233486.06400000004</v>
      </c>
      <c r="N32" s="7">
        <f>K32*350</f>
        <v>6804</v>
      </c>
      <c r="O32" s="9">
        <f>N32+M32+J32+J33</f>
        <v>362290.06400000007</v>
      </c>
    </row>
    <row r="33" spans="1:17" ht="15" x14ac:dyDescent="0.35">
      <c r="A33" s="99"/>
      <c r="B33" s="10" t="s">
        <v>16</v>
      </c>
      <c r="C33" s="11"/>
      <c r="D33" s="11"/>
      <c r="E33" s="12"/>
      <c r="F33" s="13" t="s">
        <v>24</v>
      </c>
      <c r="G33" s="11">
        <v>139</v>
      </c>
      <c r="H33" s="44">
        <v>1.44</v>
      </c>
      <c r="I33" s="11">
        <v>40000</v>
      </c>
      <c r="J33" s="15">
        <f>I33*H33</f>
        <v>57600</v>
      </c>
      <c r="K33" s="16"/>
      <c r="L33" s="16"/>
      <c r="M33" s="15"/>
      <c r="N33" s="15"/>
      <c r="O33" s="17"/>
    </row>
    <row r="34" spans="1:17" ht="15" x14ac:dyDescent="0.35">
      <c r="A34" s="99"/>
      <c r="B34" s="10"/>
      <c r="C34" s="11"/>
      <c r="D34" s="11"/>
      <c r="E34" s="12"/>
      <c r="F34" s="13"/>
      <c r="G34" s="11"/>
      <c r="H34" s="44"/>
      <c r="I34" s="11"/>
      <c r="J34" s="15"/>
      <c r="K34" s="16"/>
      <c r="L34" s="16"/>
      <c r="M34" s="15"/>
      <c r="N34" s="15"/>
      <c r="O34" s="17"/>
    </row>
    <row r="35" spans="1:17" ht="15" x14ac:dyDescent="0.35">
      <c r="A35" s="99"/>
      <c r="B35" s="10"/>
      <c r="C35" s="11"/>
      <c r="D35" s="11"/>
      <c r="E35" s="12"/>
      <c r="F35" s="13"/>
      <c r="G35" s="11"/>
      <c r="H35" s="44"/>
      <c r="I35" s="11"/>
      <c r="J35" s="15"/>
      <c r="K35" s="16"/>
      <c r="L35" s="16"/>
      <c r="M35" s="15"/>
      <c r="N35" s="15"/>
      <c r="O35" s="17"/>
    </row>
    <row r="36" spans="1:17" ht="15" x14ac:dyDescent="0.35">
      <c r="A36" s="99"/>
      <c r="B36" s="10">
        <v>2</v>
      </c>
      <c r="C36" s="11"/>
      <c r="D36" s="80"/>
      <c r="E36" s="18">
        <v>25.57</v>
      </c>
      <c r="F36" s="13" t="s">
        <v>24</v>
      </c>
      <c r="G36" s="11">
        <v>711</v>
      </c>
      <c r="H36" s="44">
        <v>3.27</v>
      </c>
      <c r="I36" s="11">
        <v>40000</v>
      </c>
      <c r="J36" s="15">
        <f>I36*H36</f>
        <v>130800</v>
      </c>
      <c r="K36" s="16">
        <f>E36-(H36+H37)/5</f>
        <v>24.873999999999999</v>
      </c>
      <c r="L36" s="16">
        <f>K36*80.5%</f>
        <v>20.023569999999999</v>
      </c>
      <c r="M36" s="15">
        <f>L36*14920</f>
        <v>298751.66440000001</v>
      </c>
      <c r="N36" s="15">
        <f>K36*350</f>
        <v>8705.9</v>
      </c>
      <c r="O36" s="17">
        <f>N36+J36+M36+J37</f>
        <v>446657.56440000003</v>
      </c>
    </row>
    <row r="37" spans="1:17" ht="15" x14ac:dyDescent="0.35">
      <c r="A37" s="99"/>
      <c r="B37" s="10" t="s">
        <v>16</v>
      </c>
      <c r="C37" s="11"/>
      <c r="D37" s="80"/>
      <c r="E37" s="12"/>
      <c r="F37" s="13" t="s">
        <v>24</v>
      </c>
      <c r="G37" s="11">
        <v>19</v>
      </c>
      <c r="H37" s="44">
        <v>0.21</v>
      </c>
      <c r="I37" s="11">
        <v>40000</v>
      </c>
      <c r="J37" s="15">
        <f>I37*H37</f>
        <v>8400</v>
      </c>
      <c r="K37" s="16"/>
      <c r="L37" s="16"/>
      <c r="M37" s="15"/>
      <c r="N37" s="15"/>
      <c r="O37" s="17"/>
    </row>
    <row r="38" spans="1:17" ht="15" x14ac:dyDescent="0.35">
      <c r="A38" s="99"/>
      <c r="B38" s="10"/>
      <c r="C38" s="11"/>
      <c r="D38" s="80"/>
      <c r="E38" s="12"/>
      <c r="F38" s="13"/>
      <c r="G38" s="11"/>
      <c r="H38" s="14"/>
      <c r="I38" s="11"/>
      <c r="J38" s="15"/>
      <c r="K38" s="16"/>
      <c r="L38" s="16"/>
      <c r="M38" s="15"/>
      <c r="N38" s="15"/>
      <c r="O38" s="17"/>
    </row>
    <row r="39" spans="1:17" ht="15" x14ac:dyDescent="0.35">
      <c r="A39" s="99"/>
      <c r="B39" s="10"/>
      <c r="C39" s="11"/>
      <c r="D39" s="80"/>
      <c r="E39" s="12"/>
      <c r="F39" s="13"/>
      <c r="G39" s="11"/>
      <c r="H39" s="14"/>
      <c r="I39" s="11"/>
      <c r="J39" s="15"/>
      <c r="K39" s="16"/>
      <c r="L39" s="16"/>
      <c r="M39" s="15"/>
      <c r="N39" s="15"/>
      <c r="O39" s="17"/>
    </row>
    <row r="40" spans="1:17" ht="15" x14ac:dyDescent="0.35">
      <c r="A40" s="99"/>
      <c r="B40" s="10">
        <v>3</v>
      </c>
      <c r="C40" s="11"/>
      <c r="D40" s="80"/>
      <c r="E40" s="18">
        <v>25.22</v>
      </c>
      <c r="F40" s="13" t="s">
        <v>24</v>
      </c>
      <c r="G40" s="11">
        <v>555</v>
      </c>
      <c r="H40" s="44">
        <v>2.39</v>
      </c>
      <c r="I40" s="11">
        <v>40000</v>
      </c>
      <c r="J40" s="15">
        <f>I40*H40</f>
        <v>95600</v>
      </c>
      <c r="K40" s="16">
        <f>E40-(H40+H41)/5</f>
        <v>24.616</v>
      </c>
      <c r="L40" s="16">
        <f>K40*80.5%</f>
        <v>19.81588</v>
      </c>
      <c r="M40" s="15">
        <f>L40*14920</f>
        <v>295652.92959999997</v>
      </c>
      <c r="N40" s="15">
        <f>K40*350</f>
        <v>8615.6</v>
      </c>
      <c r="O40" s="17">
        <f>N40+J40+M40+J41</f>
        <v>425068.52960000001</v>
      </c>
    </row>
    <row r="41" spans="1:17" ht="15" x14ac:dyDescent="0.35">
      <c r="A41" s="99"/>
      <c r="B41" s="10" t="s">
        <v>16</v>
      </c>
      <c r="C41" s="11"/>
      <c r="D41" s="80"/>
      <c r="E41" s="12"/>
      <c r="F41" s="13" t="s">
        <v>24</v>
      </c>
      <c r="G41" s="11">
        <v>48</v>
      </c>
      <c r="H41" s="44">
        <v>0.63</v>
      </c>
      <c r="I41" s="11">
        <v>40000</v>
      </c>
      <c r="J41" s="15">
        <f>I41*H41</f>
        <v>25200</v>
      </c>
      <c r="K41" s="16"/>
      <c r="L41" s="16"/>
      <c r="M41" s="15"/>
      <c r="N41" s="15"/>
      <c r="O41" s="17"/>
    </row>
    <row r="42" spans="1:17" ht="15" x14ac:dyDescent="0.35">
      <c r="A42" s="99"/>
      <c r="B42" s="10"/>
      <c r="C42" s="11"/>
      <c r="D42" s="80"/>
      <c r="E42" s="12"/>
      <c r="F42" s="13"/>
      <c r="G42" s="11"/>
      <c r="H42" s="14"/>
      <c r="I42" s="11"/>
      <c r="J42" s="15"/>
      <c r="K42" s="16"/>
      <c r="L42" s="16"/>
      <c r="M42" s="15"/>
      <c r="N42" s="15"/>
      <c r="O42" s="17"/>
    </row>
    <row r="43" spans="1:17" ht="15" x14ac:dyDescent="0.35">
      <c r="A43" s="99"/>
      <c r="B43" s="10"/>
      <c r="C43" s="11"/>
      <c r="D43" s="80"/>
      <c r="E43" s="12"/>
      <c r="F43" s="13"/>
      <c r="G43" s="11"/>
      <c r="H43" s="14"/>
      <c r="I43" s="11"/>
      <c r="J43" s="15"/>
      <c r="K43" s="16"/>
      <c r="L43" s="16"/>
      <c r="M43" s="15"/>
      <c r="N43" s="15"/>
      <c r="O43" s="17"/>
    </row>
    <row r="44" spans="1:17" ht="16" thickBot="1" x14ac:dyDescent="0.4">
      <c r="A44" s="99"/>
      <c r="B44" s="19"/>
      <c r="C44" s="20"/>
      <c r="D44" s="20"/>
      <c r="E44" s="21"/>
      <c r="F44" s="22"/>
      <c r="G44" s="22"/>
      <c r="H44" s="23"/>
      <c r="I44" s="20"/>
      <c r="J44" s="24"/>
      <c r="K44" s="21"/>
      <c r="L44" s="21"/>
      <c r="M44" s="21"/>
      <c r="N44" s="25"/>
      <c r="O44" s="26"/>
    </row>
    <row r="45" spans="1:17" ht="16" thickBot="1" x14ac:dyDescent="0.4">
      <c r="A45" s="99"/>
      <c r="B45" s="27"/>
      <c r="C45" s="28"/>
      <c r="D45" s="28"/>
      <c r="E45" s="29">
        <f>SUM(E32:E44)</f>
        <v>70.84</v>
      </c>
      <c r="F45" s="28"/>
      <c r="G45" s="28">
        <f>SUM(G32:G44)</f>
        <v>1812</v>
      </c>
      <c r="H45" s="29">
        <f>SUM(H32:H44)</f>
        <v>9.5500000000000007</v>
      </c>
      <c r="I45" s="28"/>
      <c r="J45" s="30">
        <f t="shared" ref="J45:O45" si="2">SUM(J32:J44)</f>
        <v>382000</v>
      </c>
      <c r="K45" s="29">
        <f t="shared" si="2"/>
        <v>68.930000000000007</v>
      </c>
      <c r="L45" s="29">
        <f t="shared" si="2"/>
        <v>55.48865</v>
      </c>
      <c r="M45" s="30">
        <f t="shared" si="2"/>
        <v>827890.65800000005</v>
      </c>
      <c r="N45" s="31">
        <f t="shared" si="2"/>
        <v>24125.5</v>
      </c>
      <c r="O45" s="32">
        <f t="shared" si="2"/>
        <v>1234016.1580000001</v>
      </c>
      <c r="P45" t="s">
        <v>26</v>
      </c>
      <c r="Q45" t="s">
        <v>50</v>
      </c>
    </row>
    <row r="46" spans="1:17" ht="15" thickBot="1" x14ac:dyDescent="0.4"/>
    <row r="47" spans="1:17" x14ac:dyDescent="0.35">
      <c r="A47" s="99">
        <v>4</v>
      </c>
      <c r="B47" s="110" t="s">
        <v>0</v>
      </c>
      <c r="C47" s="102" t="s">
        <v>1</v>
      </c>
      <c r="D47" s="102" t="s">
        <v>2</v>
      </c>
      <c r="E47" s="108" t="s">
        <v>3</v>
      </c>
      <c r="F47" s="102" t="s">
        <v>4</v>
      </c>
      <c r="G47" s="102"/>
      <c r="H47" s="102"/>
      <c r="I47" s="102"/>
      <c r="J47" s="102"/>
      <c r="K47" s="102" t="s">
        <v>5</v>
      </c>
      <c r="L47" s="104" t="s">
        <v>6</v>
      </c>
      <c r="M47" s="106" t="s">
        <v>7</v>
      </c>
      <c r="N47" s="108" t="s">
        <v>8</v>
      </c>
      <c r="O47" s="100" t="s">
        <v>9</v>
      </c>
    </row>
    <row r="48" spans="1:17" ht="15" thickBot="1" x14ac:dyDescent="0.4">
      <c r="A48" s="99"/>
      <c r="B48" s="111"/>
      <c r="C48" s="103"/>
      <c r="D48" s="103"/>
      <c r="E48" s="109"/>
      <c r="F48" s="3" t="s">
        <v>10</v>
      </c>
      <c r="G48" s="3" t="s">
        <v>11</v>
      </c>
      <c r="H48" s="3" t="s">
        <v>12</v>
      </c>
      <c r="I48" s="3" t="s">
        <v>13</v>
      </c>
      <c r="J48" s="3" t="s">
        <v>14</v>
      </c>
      <c r="K48" s="103"/>
      <c r="L48" s="105"/>
      <c r="M48" s="107"/>
      <c r="N48" s="109"/>
      <c r="O48" s="101"/>
    </row>
    <row r="49" spans="1:18" ht="15" x14ac:dyDescent="0.35">
      <c r="A49" s="99"/>
      <c r="B49" s="1">
        <v>1</v>
      </c>
      <c r="C49" s="2" t="s">
        <v>52</v>
      </c>
      <c r="D49" s="2"/>
      <c r="E49" s="4">
        <v>14.18</v>
      </c>
      <c r="F49" s="5" t="s">
        <v>24</v>
      </c>
      <c r="G49" s="2">
        <v>82</v>
      </c>
      <c r="H49" s="37">
        <v>5.54</v>
      </c>
      <c r="I49" s="2">
        <v>42000</v>
      </c>
      <c r="J49" s="7">
        <f>I49*H49</f>
        <v>232680</v>
      </c>
      <c r="K49" s="8">
        <f>E49-(H49+H50+H51)/5</f>
        <v>13.071999999999999</v>
      </c>
      <c r="L49" s="8">
        <f>K49*80.5%</f>
        <v>10.522959999999999</v>
      </c>
      <c r="M49" s="7">
        <f>L49*14933</f>
        <v>157139.36168</v>
      </c>
      <c r="N49" s="7">
        <f>K49*350</f>
        <v>4575.2</v>
      </c>
      <c r="O49" s="9">
        <f>N49+M49+J49+J50</f>
        <v>394394.56168000004</v>
      </c>
    </row>
    <row r="50" spans="1:18" ht="15" x14ac:dyDescent="0.35">
      <c r="A50" s="99"/>
      <c r="B50" s="10" t="s">
        <v>16</v>
      </c>
      <c r="C50" s="11"/>
      <c r="D50" s="11"/>
      <c r="E50" s="12"/>
      <c r="F50" s="13"/>
      <c r="G50" s="11"/>
      <c r="H50" s="44"/>
      <c r="I50" s="11"/>
      <c r="J50" s="15"/>
      <c r="K50" s="16"/>
      <c r="L50" s="16"/>
      <c r="M50" s="15"/>
      <c r="N50" s="15"/>
      <c r="O50" s="17"/>
    </row>
    <row r="51" spans="1:18" ht="15" x14ac:dyDescent="0.35">
      <c r="A51" s="99"/>
      <c r="B51" s="10"/>
      <c r="C51" s="11"/>
      <c r="D51" s="11"/>
      <c r="E51" s="12"/>
      <c r="F51" s="13"/>
      <c r="G51" s="11"/>
      <c r="H51" s="44"/>
      <c r="I51" s="11"/>
      <c r="J51" s="15"/>
      <c r="K51" s="16"/>
      <c r="L51" s="16"/>
      <c r="M51" s="15"/>
      <c r="N51" s="15"/>
      <c r="O51" s="17"/>
    </row>
    <row r="52" spans="1:18" ht="15" x14ac:dyDescent="0.35">
      <c r="A52" s="99"/>
      <c r="B52" s="10">
        <v>2</v>
      </c>
      <c r="C52" s="11"/>
      <c r="D52" s="11"/>
      <c r="E52" s="18">
        <v>45.28</v>
      </c>
      <c r="F52" s="13" t="s">
        <v>24</v>
      </c>
      <c r="G52" s="11">
        <v>793</v>
      </c>
      <c r="H52" s="44">
        <v>2.66</v>
      </c>
      <c r="I52" s="11">
        <v>40000</v>
      </c>
      <c r="J52" s="15">
        <f>I52*H52</f>
        <v>106400</v>
      </c>
      <c r="K52" s="16">
        <f>E52-(H52+H53+H54+H55+H56+H57)/5</f>
        <v>35.052</v>
      </c>
      <c r="L52" s="16">
        <f>K52*80.5%</f>
        <v>28.21686</v>
      </c>
      <c r="M52" s="15">
        <f>L52*14933</f>
        <v>421362.37037999998</v>
      </c>
      <c r="N52" s="15">
        <f>K52*350</f>
        <v>12268.2</v>
      </c>
      <c r="O52" s="17">
        <f>N52+M52+J52+J53+J54+J55+J56+J57</f>
        <v>625921.67037999991</v>
      </c>
    </row>
    <row r="53" spans="1:18" ht="15" x14ac:dyDescent="0.35">
      <c r="A53" s="99"/>
      <c r="B53" s="10" t="s">
        <v>16</v>
      </c>
      <c r="C53" s="11"/>
      <c r="D53" s="11"/>
      <c r="E53" s="12"/>
      <c r="F53" s="13" t="s">
        <v>24</v>
      </c>
      <c r="G53" s="11">
        <v>141</v>
      </c>
      <c r="H53" s="44">
        <v>2</v>
      </c>
      <c r="I53" s="11">
        <v>40000</v>
      </c>
      <c r="J53" s="15">
        <f>I53*H53</f>
        <v>80000</v>
      </c>
      <c r="K53" s="16"/>
      <c r="L53" s="16"/>
      <c r="M53" s="15"/>
      <c r="N53" s="15"/>
      <c r="O53" s="17"/>
    </row>
    <row r="54" spans="1:18" ht="15" x14ac:dyDescent="0.35">
      <c r="A54" s="99"/>
      <c r="B54" s="10"/>
      <c r="C54" s="11"/>
      <c r="D54" s="11"/>
      <c r="E54" s="12"/>
      <c r="F54" s="13" t="s">
        <v>23</v>
      </c>
      <c r="G54" s="11">
        <v>6</v>
      </c>
      <c r="H54" s="95">
        <v>2.69</v>
      </c>
      <c r="I54" s="11">
        <v>180</v>
      </c>
      <c r="J54" s="15">
        <f t="shared" ref="J54:J57" si="3">I54*H54</f>
        <v>484.2</v>
      </c>
      <c r="K54" s="16"/>
      <c r="L54" s="16"/>
      <c r="M54" s="15"/>
      <c r="N54" s="15"/>
      <c r="O54" s="17"/>
    </row>
    <row r="55" spans="1:18" ht="15" x14ac:dyDescent="0.35">
      <c r="A55" s="99"/>
      <c r="B55" s="10"/>
      <c r="C55" s="11"/>
      <c r="D55" s="11"/>
      <c r="E55" s="12"/>
      <c r="F55" s="13" t="s">
        <v>22</v>
      </c>
      <c r="G55" s="11">
        <v>6</v>
      </c>
      <c r="H55" s="95">
        <v>2.48</v>
      </c>
      <c r="I55" s="11">
        <v>180</v>
      </c>
      <c r="J55" s="15">
        <f t="shared" si="3"/>
        <v>446.4</v>
      </c>
      <c r="K55" s="16"/>
      <c r="L55" s="16"/>
      <c r="M55" s="15"/>
      <c r="N55" s="15"/>
      <c r="O55" s="17"/>
    </row>
    <row r="56" spans="1:18" ht="15" x14ac:dyDescent="0.35">
      <c r="A56" s="99"/>
      <c r="B56" s="10"/>
      <c r="C56" s="11"/>
      <c r="D56" s="80"/>
      <c r="E56" s="12"/>
      <c r="F56" s="13" t="s">
        <v>15</v>
      </c>
      <c r="G56" s="11">
        <v>18</v>
      </c>
      <c r="H56" s="14">
        <v>24.72</v>
      </c>
      <c r="I56" s="11">
        <v>100</v>
      </c>
      <c r="J56" s="15">
        <f t="shared" si="3"/>
        <v>2472</v>
      </c>
      <c r="K56" s="16"/>
      <c r="L56" s="16"/>
      <c r="M56" s="15"/>
      <c r="N56" s="15"/>
      <c r="O56" s="17"/>
    </row>
    <row r="57" spans="1:18" ht="15" x14ac:dyDescent="0.35">
      <c r="A57" s="99"/>
      <c r="B57" s="10"/>
      <c r="C57" s="11"/>
      <c r="D57" s="80"/>
      <c r="E57" s="12"/>
      <c r="F57" s="13" t="s">
        <v>15</v>
      </c>
      <c r="G57" s="11">
        <v>2</v>
      </c>
      <c r="H57" s="14">
        <v>16.59</v>
      </c>
      <c r="I57" s="11">
        <v>150</v>
      </c>
      <c r="J57" s="15">
        <f t="shared" si="3"/>
        <v>2488.5</v>
      </c>
      <c r="K57" s="16"/>
      <c r="L57" s="16"/>
      <c r="M57" s="15"/>
      <c r="N57" s="15"/>
      <c r="O57" s="17"/>
    </row>
    <row r="58" spans="1:18" ht="15" x14ac:dyDescent="0.35">
      <c r="A58" s="99"/>
      <c r="B58" s="10"/>
      <c r="C58" s="11"/>
      <c r="D58" s="80"/>
      <c r="E58" s="12"/>
      <c r="F58" s="13"/>
      <c r="G58" s="11"/>
      <c r="H58" s="14"/>
      <c r="I58" s="11"/>
      <c r="J58" s="15"/>
      <c r="K58" s="16"/>
      <c r="L58" s="16"/>
      <c r="M58" s="15"/>
      <c r="N58" s="15"/>
      <c r="O58" s="17"/>
    </row>
    <row r="59" spans="1:18" ht="15" x14ac:dyDescent="0.35">
      <c r="A59" s="99"/>
      <c r="B59" s="10">
        <v>3</v>
      </c>
      <c r="C59" s="11"/>
      <c r="D59" s="80"/>
      <c r="E59" s="18">
        <v>10.38</v>
      </c>
      <c r="F59" s="13" t="s">
        <v>24</v>
      </c>
      <c r="G59" s="11">
        <v>152</v>
      </c>
      <c r="H59" s="44">
        <v>0.77</v>
      </c>
      <c r="I59" s="11">
        <v>40000</v>
      </c>
      <c r="J59" s="15">
        <f>I59*H59</f>
        <v>30800</v>
      </c>
      <c r="K59" s="16">
        <f>E59-(H59)/5-K60</f>
        <v>4.6960000000000006</v>
      </c>
      <c r="L59" s="16">
        <f>K59*80.5%</f>
        <v>3.7802800000000008</v>
      </c>
      <c r="M59" s="15">
        <f>L59*14933</f>
        <v>56450.921240000011</v>
      </c>
      <c r="N59" s="15">
        <f>K59*350</f>
        <v>1643.6000000000001</v>
      </c>
      <c r="O59" s="17">
        <f>N59+M59+J59+J60+M60</f>
        <v>157435.49794</v>
      </c>
      <c r="R59" s="61"/>
    </row>
    <row r="60" spans="1:18" ht="15" x14ac:dyDescent="0.35">
      <c r="A60" s="99"/>
      <c r="B60" s="10" t="s">
        <v>16</v>
      </c>
      <c r="C60" s="11"/>
      <c r="D60" s="80"/>
      <c r="E60" s="12"/>
      <c r="F60" s="13"/>
      <c r="G60" s="11"/>
      <c r="H60" s="14"/>
      <c r="I60" s="11"/>
      <c r="J60" s="15"/>
      <c r="K60" s="16">
        <v>5.53</v>
      </c>
      <c r="L60" s="16">
        <f>K60*83%</f>
        <v>4.5899000000000001</v>
      </c>
      <c r="M60" s="15">
        <f>L60*14933</f>
        <v>68540.976699999999</v>
      </c>
      <c r="N60" s="15"/>
      <c r="O60" s="17"/>
    </row>
    <row r="61" spans="1:18" ht="15" x14ac:dyDescent="0.35">
      <c r="A61" s="99"/>
      <c r="B61" s="10"/>
      <c r="C61" s="11"/>
      <c r="D61" s="80"/>
      <c r="E61" s="12"/>
      <c r="F61" s="13"/>
      <c r="G61" s="11"/>
      <c r="H61" s="14"/>
      <c r="I61" s="11"/>
      <c r="J61" s="15"/>
      <c r="K61" s="16"/>
      <c r="L61" s="16"/>
      <c r="M61" s="15"/>
      <c r="N61" s="15"/>
      <c r="O61" s="17"/>
    </row>
    <row r="62" spans="1:18" ht="16" thickBot="1" x14ac:dyDescent="0.4">
      <c r="A62" s="99"/>
      <c r="B62" s="19"/>
      <c r="C62" s="20"/>
      <c r="D62" s="20"/>
      <c r="E62" s="21"/>
      <c r="F62" s="22"/>
      <c r="G62" s="22"/>
      <c r="H62" s="23"/>
      <c r="I62" s="20"/>
      <c r="J62" s="24"/>
      <c r="K62" s="21"/>
      <c r="L62" s="21"/>
      <c r="M62" s="21"/>
      <c r="N62" s="25"/>
      <c r="O62" s="26"/>
    </row>
    <row r="63" spans="1:18" ht="16" thickBot="1" x14ac:dyDescent="0.4">
      <c r="A63" s="99"/>
      <c r="B63" s="27"/>
      <c r="C63" s="28"/>
      <c r="D63" s="28"/>
      <c r="E63" s="29">
        <f>SUM(E49:E62)</f>
        <v>69.84</v>
      </c>
      <c r="F63" s="28"/>
      <c r="G63" s="28">
        <f>SUM(G49:G62)</f>
        <v>1200</v>
      </c>
      <c r="H63" s="29">
        <f>SUM(H49:H62)</f>
        <v>57.449999999999996</v>
      </c>
      <c r="I63" s="28"/>
      <c r="J63" s="30">
        <f t="shared" ref="J63:O63" si="4">SUM(J49:J62)</f>
        <v>455771.10000000003</v>
      </c>
      <c r="K63" s="29">
        <f t="shared" si="4"/>
        <v>58.349999999999994</v>
      </c>
      <c r="L63" s="29">
        <f t="shared" si="4"/>
        <v>47.11</v>
      </c>
      <c r="M63" s="30">
        <f t="shared" si="4"/>
        <v>703493.63</v>
      </c>
      <c r="N63" s="31">
        <f t="shared" si="4"/>
        <v>18487</v>
      </c>
      <c r="O63" s="32">
        <f t="shared" si="4"/>
        <v>1177751.73</v>
      </c>
      <c r="P63" t="s">
        <v>26</v>
      </c>
      <c r="Q63" t="s">
        <v>83</v>
      </c>
    </row>
    <row r="64" spans="1:18" ht="15" thickBot="1" x14ac:dyDescent="0.4"/>
    <row r="65" spans="1:17" x14ac:dyDescent="0.35">
      <c r="A65" s="99">
        <v>5</v>
      </c>
      <c r="B65" s="110" t="s">
        <v>0</v>
      </c>
      <c r="C65" s="102" t="s">
        <v>1</v>
      </c>
      <c r="D65" s="102" t="s">
        <v>2</v>
      </c>
      <c r="E65" s="108" t="s">
        <v>3</v>
      </c>
      <c r="F65" s="102" t="s">
        <v>4</v>
      </c>
      <c r="G65" s="102"/>
      <c r="H65" s="102"/>
      <c r="I65" s="102"/>
      <c r="J65" s="102"/>
      <c r="K65" s="102" t="s">
        <v>5</v>
      </c>
      <c r="L65" s="104" t="s">
        <v>6</v>
      </c>
      <c r="M65" s="106" t="s">
        <v>7</v>
      </c>
      <c r="N65" s="108" t="s">
        <v>8</v>
      </c>
      <c r="O65" s="100" t="s">
        <v>9</v>
      </c>
    </row>
    <row r="66" spans="1:17" ht="15" thickBot="1" x14ac:dyDescent="0.4">
      <c r="A66" s="99"/>
      <c r="B66" s="111"/>
      <c r="C66" s="103"/>
      <c r="D66" s="103"/>
      <c r="E66" s="109"/>
      <c r="F66" s="3" t="s">
        <v>10</v>
      </c>
      <c r="G66" s="3" t="s">
        <v>11</v>
      </c>
      <c r="H66" s="3" t="s">
        <v>12</v>
      </c>
      <c r="I66" s="3" t="s">
        <v>13</v>
      </c>
      <c r="J66" s="3" t="s">
        <v>14</v>
      </c>
      <c r="K66" s="103"/>
      <c r="L66" s="105"/>
      <c r="M66" s="107"/>
      <c r="N66" s="109"/>
      <c r="O66" s="101"/>
    </row>
    <row r="67" spans="1:17" ht="15" x14ac:dyDescent="0.35">
      <c r="A67" s="99"/>
      <c r="B67" s="1">
        <v>1</v>
      </c>
      <c r="C67" s="2"/>
      <c r="D67" s="2"/>
      <c r="E67" s="4">
        <v>118.02</v>
      </c>
      <c r="F67" s="5" t="s">
        <v>24</v>
      </c>
      <c r="G67" s="2">
        <v>2800</v>
      </c>
      <c r="H67" s="37">
        <v>8.4700000000000006</v>
      </c>
      <c r="I67" s="2">
        <v>40000</v>
      </c>
      <c r="J67" s="7">
        <f>I67*H67</f>
        <v>338800</v>
      </c>
      <c r="K67" s="8">
        <f>E67-(H67+H68+H69+H70+H71)/5-K68</f>
        <v>94.759999999999991</v>
      </c>
      <c r="L67" s="8">
        <f>K67*80.5%</f>
        <v>76.281800000000004</v>
      </c>
      <c r="M67" s="7">
        <f>L67*14933</f>
        <v>1139116.1194</v>
      </c>
      <c r="N67" s="7">
        <f>K67*350</f>
        <v>33166</v>
      </c>
      <c r="O67" s="9">
        <f>N67+M67+J67+J68+J69+J70+J71+M68</f>
        <v>1735963.3598</v>
      </c>
    </row>
    <row r="68" spans="1:17" ht="15" x14ac:dyDescent="0.35">
      <c r="A68" s="99"/>
      <c r="B68" s="10" t="s">
        <v>16</v>
      </c>
      <c r="C68" s="11"/>
      <c r="D68" s="11"/>
      <c r="E68" s="12"/>
      <c r="F68" s="13" t="s">
        <v>24</v>
      </c>
      <c r="G68" s="11">
        <v>26</v>
      </c>
      <c r="H68" s="44">
        <v>0.27</v>
      </c>
      <c r="I68" s="11">
        <v>40000</v>
      </c>
      <c r="J68" s="15">
        <f>I68*H68</f>
        <v>10800</v>
      </c>
      <c r="K68" s="16">
        <f>7.29+6.19</f>
        <v>13.48</v>
      </c>
      <c r="L68" s="16">
        <f>K68*81%</f>
        <v>10.918800000000001</v>
      </c>
      <c r="M68" s="15">
        <f>L68*14933</f>
        <v>163050.44040000002</v>
      </c>
      <c r="N68" s="15"/>
      <c r="O68" s="17"/>
    </row>
    <row r="69" spans="1:17" ht="15" x14ac:dyDescent="0.35">
      <c r="A69" s="99"/>
      <c r="B69" s="10"/>
      <c r="C69" s="11"/>
      <c r="D69" s="11"/>
      <c r="E69" s="12"/>
      <c r="F69" s="13" t="s">
        <v>53</v>
      </c>
      <c r="G69" s="11">
        <v>89</v>
      </c>
      <c r="H69" s="44">
        <v>1.1000000000000001</v>
      </c>
      <c r="I69" s="11">
        <v>40000</v>
      </c>
      <c r="J69" s="15">
        <f t="shared" ref="J69:J71" si="5">I69*H69</f>
        <v>44000</v>
      </c>
      <c r="K69" s="16"/>
      <c r="L69" s="16"/>
      <c r="M69" s="15"/>
      <c r="N69" s="15"/>
      <c r="O69" s="17"/>
    </row>
    <row r="70" spans="1:17" ht="15" x14ac:dyDescent="0.35">
      <c r="A70" s="99"/>
      <c r="B70" s="10"/>
      <c r="C70" s="11"/>
      <c r="D70" s="11"/>
      <c r="E70" s="12"/>
      <c r="F70" s="13" t="s">
        <v>23</v>
      </c>
      <c r="G70" s="11">
        <v>20</v>
      </c>
      <c r="H70" s="95">
        <v>18.41</v>
      </c>
      <c r="I70" s="11">
        <v>180</v>
      </c>
      <c r="J70" s="15">
        <f t="shared" si="5"/>
        <v>3313.8</v>
      </c>
      <c r="K70" s="16"/>
      <c r="L70" s="16"/>
      <c r="M70" s="15"/>
      <c r="N70" s="15"/>
      <c r="O70" s="17"/>
    </row>
    <row r="71" spans="1:17" ht="15" x14ac:dyDescent="0.35">
      <c r="A71" s="99"/>
      <c r="B71" s="10"/>
      <c r="C71" s="11"/>
      <c r="D71" s="11"/>
      <c r="E71" s="12"/>
      <c r="F71" s="13" t="s">
        <v>54</v>
      </c>
      <c r="G71" s="11">
        <v>1</v>
      </c>
      <c r="H71" s="95">
        <v>20.65</v>
      </c>
      <c r="I71" s="11">
        <v>180</v>
      </c>
      <c r="J71" s="15">
        <f t="shared" si="5"/>
        <v>3716.9999999999995</v>
      </c>
      <c r="K71" s="16"/>
      <c r="L71" s="16"/>
      <c r="M71" s="15"/>
      <c r="N71" s="15"/>
      <c r="O71" s="17"/>
    </row>
    <row r="72" spans="1:17" x14ac:dyDescent="0.35">
      <c r="A72" s="99"/>
      <c r="B72" s="10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12"/>
      <c r="N72" s="12"/>
      <c r="O72" s="83"/>
    </row>
    <row r="73" spans="1:17" ht="15" x14ac:dyDescent="0.35">
      <c r="A73" s="99"/>
      <c r="B73" s="10">
        <v>1</v>
      </c>
      <c r="C73" s="11"/>
      <c r="D73" s="11"/>
      <c r="E73" s="18">
        <v>36.64</v>
      </c>
      <c r="F73" s="13" t="s">
        <v>24</v>
      </c>
      <c r="G73" s="11">
        <v>1070</v>
      </c>
      <c r="H73" s="44">
        <v>3.18</v>
      </c>
      <c r="I73" s="11">
        <v>40000</v>
      </c>
      <c r="J73" s="15">
        <f>I73*H73</f>
        <v>127200</v>
      </c>
      <c r="K73" s="16">
        <f>E73-(H73+H74+H75+H76+H77)/5</f>
        <v>28.643999999999998</v>
      </c>
      <c r="L73" s="16">
        <f>K73*80.5%</f>
        <v>23.058420000000002</v>
      </c>
      <c r="M73" s="15">
        <f>L73*14933</f>
        <v>344331.38586000004</v>
      </c>
      <c r="N73" s="15">
        <f>K73*350</f>
        <v>10025.4</v>
      </c>
      <c r="O73" s="17">
        <f>N73+M73+J73+J74+J75+J76+J77</f>
        <v>502117.78586000006</v>
      </c>
    </row>
    <row r="74" spans="1:17" ht="15" x14ac:dyDescent="0.35">
      <c r="A74" s="99"/>
      <c r="B74" s="10" t="s">
        <v>16</v>
      </c>
      <c r="C74" s="11"/>
      <c r="D74" s="11"/>
      <c r="E74" s="12"/>
      <c r="F74" s="13" t="s">
        <v>24</v>
      </c>
      <c r="G74" s="11">
        <v>4</v>
      </c>
      <c r="H74" s="44">
        <v>0.04</v>
      </c>
      <c r="I74" s="11">
        <v>40000</v>
      </c>
      <c r="J74" s="15">
        <f>I74*H74</f>
        <v>1600</v>
      </c>
      <c r="K74" s="16"/>
      <c r="L74" s="16"/>
      <c r="M74" s="15"/>
      <c r="N74" s="15"/>
      <c r="O74" s="17"/>
    </row>
    <row r="75" spans="1:17" ht="15" x14ac:dyDescent="0.35">
      <c r="A75" s="99"/>
      <c r="B75" s="10"/>
      <c r="C75" s="11"/>
      <c r="D75" s="11"/>
      <c r="E75" s="12"/>
      <c r="F75" s="13" t="s">
        <v>53</v>
      </c>
      <c r="G75" s="11">
        <v>34</v>
      </c>
      <c r="H75" s="44">
        <v>0.31</v>
      </c>
      <c r="I75" s="11">
        <v>40000</v>
      </c>
      <c r="J75" s="15">
        <f t="shared" ref="J75:J77" si="6">I75*H75</f>
        <v>12400</v>
      </c>
      <c r="K75" s="16"/>
      <c r="L75" s="16"/>
      <c r="M75" s="15"/>
      <c r="N75" s="15"/>
      <c r="O75" s="17"/>
    </row>
    <row r="76" spans="1:17" ht="15" x14ac:dyDescent="0.35">
      <c r="A76" s="99"/>
      <c r="B76" s="10"/>
      <c r="C76" s="11"/>
      <c r="D76" s="11"/>
      <c r="E76" s="12"/>
      <c r="F76" s="13" t="s">
        <v>23</v>
      </c>
      <c r="G76" s="11">
        <v>2</v>
      </c>
      <c r="H76" s="95">
        <v>2.88</v>
      </c>
      <c r="I76" s="11">
        <v>180</v>
      </c>
      <c r="J76" s="15">
        <f t="shared" si="6"/>
        <v>518.4</v>
      </c>
      <c r="K76" s="16"/>
      <c r="L76" s="16"/>
      <c r="M76" s="15"/>
      <c r="N76" s="15"/>
      <c r="O76" s="17"/>
    </row>
    <row r="77" spans="1:17" ht="15" x14ac:dyDescent="0.35">
      <c r="A77" s="99"/>
      <c r="B77" s="10"/>
      <c r="C77" s="11"/>
      <c r="D77" s="80"/>
      <c r="E77" s="12"/>
      <c r="F77" s="13" t="s">
        <v>54</v>
      </c>
      <c r="G77" s="11">
        <v>4</v>
      </c>
      <c r="H77" s="95">
        <v>33.57</v>
      </c>
      <c r="I77" s="11">
        <v>180</v>
      </c>
      <c r="J77" s="15">
        <f t="shared" si="6"/>
        <v>6042.6</v>
      </c>
      <c r="K77" s="16"/>
      <c r="L77" s="16"/>
      <c r="M77" s="15"/>
      <c r="N77" s="15"/>
      <c r="O77" s="17"/>
    </row>
    <row r="78" spans="1:17" ht="16" thickBot="1" x14ac:dyDescent="0.4">
      <c r="A78" s="99"/>
      <c r="B78" s="19"/>
      <c r="C78" s="20"/>
      <c r="D78" s="20"/>
      <c r="E78" s="21"/>
      <c r="F78" s="22"/>
      <c r="G78" s="22"/>
      <c r="H78" s="23"/>
      <c r="I78" s="20"/>
      <c r="J78" s="24"/>
      <c r="K78" s="21"/>
      <c r="L78" s="21"/>
      <c r="M78" s="21"/>
      <c r="N78" s="25"/>
      <c r="O78" s="26"/>
    </row>
    <row r="79" spans="1:17" ht="16" thickBot="1" x14ac:dyDescent="0.4">
      <c r="A79" s="99"/>
      <c r="B79" s="27"/>
      <c r="C79" s="28"/>
      <c r="D79" s="28"/>
      <c r="E79" s="29">
        <f>SUM(E67:E78)</f>
        <v>154.66</v>
      </c>
      <c r="F79" s="28"/>
      <c r="G79" s="28">
        <f>SUM(G67:G78)</f>
        <v>4050</v>
      </c>
      <c r="H79" s="29">
        <f>SUM(H67:H78)</f>
        <v>88.88</v>
      </c>
      <c r="I79" s="28"/>
      <c r="J79" s="30">
        <f t="shared" ref="J79:O79" si="7">SUM(J67:J78)</f>
        <v>548391.80000000005</v>
      </c>
      <c r="K79" s="29">
        <f t="shared" si="7"/>
        <v>136.88399999999999</v>
      </c>
      <c r="L79" s="29">
        <f t="shared" si="7"/>
        <v>110.25902000000001</v>
      </c>
      <c r="M79" s="30">
        <f t="shared" si="7"/>
        <v>1646497.94566</v>
      </c>
      <c r="N79" s="31">
        <f t="shared" si="7"/>
        <v>43191.4</v>
      </c>
      <c r="O79" s="32">
        <f t="shared" si="7"/>
        <v>2238081.1456599999</v>
      </c>
      <c r="P79" t="s">
        <v>26</v>
      </c>
      <c r="Q79" t="s">
        <v>83</v>
      </c>
    </row>
    <row r="80" spans="1:17" ht="15" thickBot="1" x14ac:dyDescent="0.4"/>
    <row r="81" spans="1:15" x14ac:dyDescent="0.35">
      <c r="A81" s="99">
        <v>6</v>
      </c>
      <c r="B81" s="110" t="s">
        <v>0</v>
      </c>
      <c r="C81" s="102" t="s">
        <v>1</v>
      </c>
      <c r="D81" s="102" t="s">
        <v>2</v>
      </c>
      <c r="E81" s="108" t="s">
        <v>3</v>
      </c>
      <c r="F81" s="102" t="s">
        <v>4</v>
      </c>
      <c r="G81" s="102"/>
      <c r="H81" s="102"/>
      <c r="I81" s="102"/>
      <c r="J81" s="102"/>
      <c r="K81" s="102" t="s">
        <v>5</v>
      </c>
      <c r="L81" s="104" t="s">
        <v>6</v>
      </c>
      <c r="M81" s="106" t="s">
        <v>7</v>
      </c>
      <c r="N81" s="108" t="s">
        <v>8</v>
      </c>
      <c r="O81" s="100" t="s">
        <v>9</v>
      </c>
    </row>
    <row r="82" spans="1:15" ht="15" thickBot="1" x14ac:dyDescent="0.4">
      <c r="A82" s="99"/>
      <c r="B82" s="111"/>
      <c r="C82" s="103"/>
      <c r="D82" s="103"/>
      <c r="E82" s="109"/>
      <c r="F82" s="3" t="s">
        <v>10</v>
      </c>
      <c r="G82" s="3" t="s">
        <v>11</v>
      </c>
      <c r="H82" s="3" t="s">
        <v>12</v>
      </c>
      <c r="I82" s="3" t="s">
        <v>13</v>
      </c>
      <c r="J82" s="3" t="s">
        <v>14</v>
      </c>
      <c r="K82" s="103"/>
      <c r="L82" s="105"/>
      <c r="M82" s="107"/>
      <c r="N82" s="109"/>
      <c r="O82" s="101"/>
    </row>
    <row r="83" spans="1:15" ht="15" x14ac:dyDescent="0.35">
      <c r="A83" s="99"/>
      <c r="B83" s="1">
        <v>1</v>
      </c>
      <c r="C83" s="2" t="s">
        <v>59</v>
      </c>
      <c r="D83" s="2"/>
      <c r="E83" s="4">
        <v>5.1100000000000003</v>
      </c>
      <c r="F83" s="5" t="s">
        <v>60</v>
      </c>
      <c r="G83" s="2">
        <v>2</v>
      </c>
      <c r="H83" s="37">
        <v>0.55000000000000004</v>
      </c>
      <c r="I83" s="2">
        <v>94540</v>
      </c>
      <c r="J83" s="7">
        <f>I83*H83</f>
        <v>51997.000000000007</v>
      </c>
      <c r="K83" s="8">
        <f>E83-(H83+H84+H85)/5</f>
        <v>4.3980000000000006</v>
      </c>
      <c r="L83" s="8">
        <f>K83*86%</f>
        <v>3.7822800000000005</v>
      </c>
      <c r="M83" s="7">
        <f>L83*15250</f>
        <v>57679.770000000011</v>
      </c>
      <c r="N83" s="7"/>
      <c r="O83" s="9">
        <f>N83+M83+J83+J84</f>
        <v>4994906.7699999996</v>
      </c>
    </row>
    <row r="84" spans="1:15" ht="15" x14ac:dyDescent="0.35">
      <c r="A84" s="99"/>
      <c r="B84" s="10" t="s">
        <v>16</v>
      </c>
      <c r="C84" s="11"/>
      <c r="D84" s="11"/>
      <c r="E84" s="12"/>
      <c r="F84" s="13" t="s">
        <v>20</v>
      </c>
      <c r="G84" s="11">
        <v>1</v>
      </c>
      <c r="H84" s="44">
        <v>3.01</v>
      </c>
      <c r="I84" s="11">
        <v>1623000</v>
      </c>
      <c r="J84" s="15">
        <f>I84*H84</f>
        <v>4885230</v>
      </c>
      <c r="K84" s="16"/>
      <c r="L84" s="16"/>
      <c r="M84" s="15"/>
      <c r="N84" s="15"/>
      <c r="O84" s="17"/>
    </row>
    <row r="85" spans="1:15" ht="15" x14ac:dyDescent="0.35">
      <c r="A85" s="99"/>
      <c r="B85" s="10"/>
      <c r="C85" s="11"/>
      <c r="D85" s="11"/>
      <c r="E85" s="12"/>
      <c r="F85" s="13"/>
      <c r="G85" s="11"/>
      <c r="H85" s="44"/>
      <c r="I85" s="11"/>
      <c r="J85" s="15"/>
      <c r="K85" s="16"/>
      <c r="L85" s="16"/>
      <c r="M85" s="15"/>
      <c r="N85" s="15"/>
      <c r="O85" s="17"/>
    </row>
    <row r="86" spans="1:15" ht="15" x14ac:dyDescent="0.35">
      <c r="A86" s="99"/>
      <c r="B86" s="10">
        <v>2</v>
      </c>
      <c r="C86" s="11"/>
      <c r="D86" s="11"/>
      <c r="E86" s="18">
        <v>4.41</v>
      </c>
      <c r="F86" s="13" t="s">
        <v>20</v>
      </c>
      <c r="G86" s="11">
        <v>2</v>
      </c>
      <c r="H86" s="44">
        <v>4.0199999999999996</v>
      </c>
      <c r="I86" s="11">
        <v>1005000</v>
      </c>
      <c r="J86" s="15">
        <f>I86*H86</f>
        <v>4040099.9999999995</v>
      </c>
      <c r="K86" s="16">
        <f>E86-(H86+H87+H88)/5</f>
        <v>3.6060000000000003</v>
      </c>
      <c r="L86" s="16">
        <f>K86*86%</f>
        <v>3.1011600000000001</v>
      </c>
      <c r="M86" s="15">
        <f>L86*15250</f>
        <v>47292.69</v>
      </c>
      <c r="N86" s="15"/>
      <c r="O86" s="17">
        <f>N86+M86+J86+J87</f>
        <v>4087392.6899999995</v>
      </c>
    </row>
    <row r="87" spans="1:15" ht="15" x14ac:dyDescent="0.35">
      <c r="A87" s="99"/>
      <c r="B87" s="10" t="s">
        <v>16</v>
      </c>
      <c r="C87" s="11"/>
      <c r="D87" s="11"/>
      <c r="E87" s="12"/>
      <c r="F87" s="13"/>
      <c r="G87" s="11"/>
      <c r="H87" s="44"/>
      <c r="I87" s="11"/>
      <c r="J87" s="15"/>
      <c r="K87" s="16"/>
      <c r="L87" s="16"/>
      <c r="M87" s="15"/>
      <c r="N87" s="15"/>
      <c r="O87" s="17"/>
    </row>
    <row r="88" spans="1:15" ht="15" x14ac:dyDescent="0.35">
      <c r="A88" s="99"/>
      <c r="B88" s="10"/>
      <c r="C88" s="11"/>
      <c r="D88" s="11"/>
      <c r="E88" s="12"/>
      <c r="F88" s="13"/>
      <c r="G88" s="11"/>
      <c r="H88" s="44"/>
      <c r="I88" s="11"/>
      <c r="J88" s="15"/>
      <c r="K88" s="16"/>
      <c r="L88" s="16"/>
      <c r="M88" s="15"/>
      <c r="N88" s="15"/>
      <c r="O88" s="17"/>
    </row>
    <row r="89" spans="1:15" ht="16" thickBot="1" x14ac:dyDescent="0.4">
      <c r="A89" s="99"/>
      <c r="B89" s="19"/>
      <c r="C89" s="20"/>
      <c r="D89" s="20"/>
      <c r="E89" s="21"/>
      <c r="F89" s="22"/>
      <c r="G89" s="22"/>
      <c r="H89" s="23"/>
      <c r="I89" s="20"/>
      <c r="J89" s="24"/>
      <c r="K89" s="21"/>
      <c r="L89" s="21"/>
      <c r="M89" s="21"/>
      <c r="N89" s="25"/>
      <c r="O89" s="26"/>
    </row>
    <row r="90" spans="1:15" ht="16" thickBot="1" x14ac:dyDescent="0.4">
      <c r="A90" s="99"/>
      <c r="B90" s="27"/>
      <c r="C90" s="28"/>
      <c r="D90" s="28"/>
      <c r="E90" s="29">
        <f>SUM(E83:E89)</f>
        <v>9.52</v>
      </c>
      <c r="F90" s="28"/>
      <c r="G90" s="28">
        <f>SUM(G83:G89)</f>
        <v>5</v>
      </c>
      <c r="H90" s="29">
        <f>SUM(H83:H89)</f>
        <v>7.5799999999999992</v>
      </c>
      <c r="I90" s="28"/>
      <c r="J90" s="30">
        <f t="shared" ref="J90:O90" si="8">SUM(J83:J89)</f>
        <v>8977327</v>
      </c>
      <c r="K90" s="29">
        <f t="shared" si="8"/>
        <v>8.0040000000000013</v>
      </c>
      <c r="L90" s="29">
        <f t="shared" si="8"/>
        <v>6.8834400000000002</v>
      </c>
      <c r="M90" s="30">
        <f t="shared" si="8"/>
        <v>104972.46000000002</v>
      </c>
      <c r="N90" s="31">
        <f t="shared" si="8"/>
        <v>0</v>
      </c>
      <c r="O90" s="32">
        <f t="shared" si="8"/>
        <v>9082299.459999999</v>
      </c>
    </row>
    <row r="91" spans="1:15" ht="15" thickBot="1" x14ac:dyDescent="0.4"/>
    <row r="92" spans="1:15" x14ac:dyDescent="0.35">
      <c r="A92" s="99">
        <v>7</v>
      </c>
      <c r="B92" s="110" t="s">
        <v>0</v>
      </c>
      <c r="C92" s="102" t="s">
        <v>1</v>
      </c>
      <c r="D92" s="102" t="s">
        <v>2</v>
      </c>
      <c r="E92" s="108" t="s">
        <v>3</v>
      </c>
      <c r="F92" s="102" t="s">
        <v>4</v>
      </c>
      <c r="G92" s="102"/>
      <c r="H92" s="102"/>
      <c r="I92" s="102"/>
      <c r="J92" s="102"/>
      <c r="K92" s="102" t="s">
        <v>5</v>
      </c>
      <c r="L92" s="104" t="s">
        <v>6</v>
      </c>
      <c r="M92" s="106" t="s">
        <v>7</v>
      </c>
      <c r="N92" s="108" t="s">
        <v>8</v>
      </c>
      <c r="O92" s="100" t="s">
        <v>9</v>
      </c>
    </row>
    <row r="93" spans="1:15" ht="15" thickBot="1" x14ac:dyDescent="0.4">
      <c r="A93" s="99"/>
      <c r="B93" s="111"/>
      <c r="C93" s="103"/>
      <c r="D93" s="103"/>
      <c r="E93" s="109"/>
      <c r="F93" s="3" t="s">
        <v>10</v>
      </c>
      <c r="G93" s="3" t="s">
        <v>11</v>
      </c>
      <c r="H93" s="3" t="s">
        <v>12</v>
      </c>
      <c r="I93" s="3" t="s">
        <v>13</v>
      </c>
      <c r="J93" s="3" t="s">
        <v>14</v>
      </c>
      <c r="K93" s="103"/>
      <c r="L93" s="105"/>
      <c r="M93" s="107"/>
      <c r="N93" s="109"/>
      <c r="O93" s="101"/>
    </row>
    <row r="94" spans="1:15" ht="15" x14ac:dyDescent="0.35">
      <c r="A94" s="99"/>
      <c r="B94" s="1">
        <v>1</v>
      </c>
      <c r="C94" s="2" t="s">
        <v>64</v>
      </c>
      <c r="D94" s="2"/>
      <c r="E94" s="4">
        <f>46.51-45.28</f>
        <v>1.2299999999999969</v>
      </c>
      <c r="F94" s="5"/>
      <c r="G94" s="2"/>
      <c r="H94" s="37"/>
      <c r="I94" s="2"/>
      <c r="J94" s="7"/>
      <c r="K94" s="8">
        <f>E94-(H94+H95+H96)/5</f>
        <v>1.2299999999999969</v>
      </c>
      <c r="L94" s="8">
        <f>K94*80.5%</f>
        <v>0.99014999999999753</v>
      </c>
      <c r="M94" s="7">
        <f>L94*14933</f>
        <v>14785.909949999963</v>
      </c>
      <c r="N94" s="7">
        <f>K94*350</f>
        <v>430.49999999999892</v>
      </c>
      <c r="O94" s="9">
        <f>N94+M94+J94+J95+J96+J97+J98+J99</f>
        <v>142416.40994999997</v>
      </c>
    </row>
    <row r="95" spans="1:15" ht="15" x14ac:dyDescent="0.35">
      <c r="A95" s="99"/>
      <c r="B95" s="10" t="s">
        <v>16</v>
      </c>
      <c r="C95" s="11"/>
      <c r="D95" s="11"/>
      <c r="E95" s="12"/>
      <c r="F95" s="13"/>
      <c r="G95" s="11"/>
      <c r="H95" s="44"/>
      <c r="I95" s="11"/>
      <c r="J95" s="15"/>
      <c r="K95" s="16"/>
      <c r="L95" s="16"/>
      <c r="M95" s="15"/>
      <c r="N95" s="15"/>
      <c r="O95" s="17"/>
    </row>
    <row r="96" spans="1:15" ht="15" x14ac:dyDescent="0.35">
      <c r="A96" s="99"/>
      <c r="B96" s="10"/>
      <c r="C96" s="11"/>
      <c r="D96" s="11"/>
      <c r="E96" s="12"/>
      <c r="F96" s="13"/>
      <c r="G96" s="11"/>
      <c r="H96" s="44"/>
      <c r="I96" s="11"/>
      <c r="J96" s="15"/>
      <c r="K96" s="16"/>
      <c r="L96" s="16"/>
      <c r="M96" s="15"/>
      <c r="N96" s="15"/>
      <c r="O96" s="17"/>
    </row>
    <row r="97" spans="1:17" ht="15" x14ac:dyDescent="0.35">
      <c r="A97" s="99"/>
      <c r="B97" s="10"/>
      <c r="C97" s="11"/>
      <c r="D97" s="11"/>
      <c r="E97" s="12"/>
      <c r="F97" s="13"/>
      <c r="G97" s="11"/>
      <c r="H97" s="44"/>
      <c r="I97" s="11"/>
      <c r="J97" s="15"/>
      <c r="K97" s="16"/>
      <c r="L97" s="16"/>
      <c r="M97" s="15"/>
      <c r="N97" s="15"/>
      <c r="O97" s="17"/>
    </row>
    <row r="98" spans="1:17" ht="15" x14ac:dyDescent="0.35">
      <c r="A98" s="99"/>
      <c r="B98" s="10">
        <v>2</v>
      </c>
      <c r="C98" s="11"/>
      <c r="D98" s="80"/>
      <c r="E98" s="18">
        <v>38.08</v>
      </c>
      <c r="F98" s="13" t="s">
        <v>24</v>
      </c>
      <c r="G98" s="11">
        <v>1078</v>
      </c>
      <c r="H98" s="44">
        <v>3.14</v>
      </c>
      <c r="I98" s="11">
        <v>40000</v>
      </c>
      <c r="J98" s="15">
        <f>I98*H98</f>
        <v>125600</v>
      </c>
      <c r="K98" s="16">
        <f>E98-(H98+H99+H100+H101+H102)/5</f>
        <v>29.567999999999998</v>
      </c>
      <c r="L98" s="16">
        <f>K98*80.5%</f>
        <v>23.802240000000001</v>
      </c>
      <c r="M98" s="15">
        <f>L98*15461</f>
        <v>368006.43264000001</v>
      </c>
      <c r="N98" s="15">
        <f>K98*350</f>
        <v>10348.799999999999</v>
      </c>
      <c r="O98" s="17">
        <f>N98+M98+J98+J99+J100+J101+J102</f>
        <v>522598.63263999997</v>
      </c>
    </row>
    <row r="99" spans="1:17" ht="15" x14ac:dyDescent="0.35">
      <c r="A99" s="99"/>
      <c r="B99" s="10" t="s">
        <v>63</v>
      </c>
      <c r="C99" s="11"/>
      <c r="D99" s="80"/>
      <c r="E99" s="12"/>
      <c r="F99" s="13" t="s">
        <v>24</v>
      </c>
      <c r="G99" s="11">
        <v>4</v>
      </c>
      <c r="H99" s="44">
        <v>0.04</v>
      </c>
      <c r="I99" s="11">
        <v>40000</v>
      </c>
      <c r="J99" s="15">
        <f>I99*H99</f>
        <v>1600</v>
      </c>
      <c r="K99" s="16"/>
      <c r="L99" s="16"/>
      <c r="M99" s="15"/>
      <c r="N99" s="15"/>
      <c r="O99" s="17"/>
    </row>
    <row r="100" spans="1:17" ht="15" x14ac:dyDescent="0.35">
      <c r="A100" s="99"/>
      <c r="B100" s="10"/>
      <c r="C100" s="11"/>
      <c r="D100" s="80"/>
      <c r="E100" s="12"/>
      <c r="F100" s="13" t="s">
        <v>53</v>
      </c>
      <c r="G100" s="11">
        <v>36</v>
      </c>
      <c r="H100" s="44">
        <v>0.25</v>
      </c>
      <c r="I100" s="11">
        <v>40000</v>
      </c>
      <c r="J100" s="15">
        <f t="shared" ref="J100:J102" si="9">I100*H100</f>
        <v>10000</v>
      </c>
      <c r="K100" s="16"/>
      <c r="L100" s="16"/>
      <c r="M100" s="15"/>
      <c r="N100" s="15"/>
      <c r="O100" s="17"/>
    </row>
    <row r="101" spans="1:17" ht="15" x14ac:dyDescent="0.35">
      <c r="A101" s="99"/>
      <c r="B101" s="10"/>
      <c r="C101" s="11"/>
      <c r="D101" s="80"/>
      <c r="E101" s="12"/>
      <c r="F101" s="13" t="s">
        <v>23</v>
      </c>
      <c r="G101" s="11">
        <v>2</v>
      </c>
      <c r="H101" s="95">
        <v>3.16</v>
      </c>
      <c r="I101" s="11">
        <v>180</v>
      </c>
      <c r="J101" s="15">
        <f t="shared" si="9"/>
        <v>568.80000000000007</v>
      </c>
      <c r="K101" s="16"/>
      <c r="L101" s="16"/>
      <c r="M101" s="15"/>
      <c r="N101" s="15"/>
      <c r="O101" s="17"/>
    </row>
    <row r="102" spans="1:17" ht="15" x14ac:dyDescent="0.35">
      <c r="A102" s="99"/>
      <c r="B102" s="10"/>
      <c r="C102" s="11"/>
      <c r="D102" s="80"/>
      <c r="E102" s="12"/>
      <c r="F102" s="13" t="s">
        <v>54</v>
      </c>
      <c r="G102" s="11">
        <v>4</v>
      </c>
      <c r="H102" s="95">
        <v>35.97</v>
      </c>
      <c r="I102" s="11">
        <v>180</v>
      </c>
      <c r="J102" s="15">
        <f t="shared" si="9"/>
        <v>6474.5999999999995</v>
      </c>
      <c r="K102" s="16"/>
      <c r="L102" s="16"/>
      <c r="M102" s="15"/>
      <c r="N102" s="15"/>
      <c r="O102" s="17"/>
    </row>
    <row r="103" spans="1:17" ht="15" x14ac:dyDescent="0.35">
      <c r="A103" s="99"/>
      <c r="B103" s="10"/>
      <c r="C103" s="11"/>
      <c r="D103" s="80"/>
      <c r="E103" s="12"/>
      <c r="F103" s="13"/>
      <c r="G103" s="11"/>
      <c r="H103" s="14"/>
      <c r="I103" s="11"/>
      <c r="J103" s="15"/>
      <c r="K103" s="16"/>
      <c r="L103" s="16"/>
      <c r="M103" s="15"/>
      <c r="N103" s="15"/>
      <c r="O103" s="17"/>
    </row>
    <row r="104" spans="1:17" ht="16" thickBot="1" x14ac:dyDescent="0.4">
      <c r="A104" s="99"/>
      <c r="B104" s="19"/>
      <c r="C104" s="20"/>
      <c r="D104" s="20"/>
      <c r="E104" s="21"/>
      <c r="F104" s="22"/>
      <c r="G104" s="22"/>
      <c r="H104" s="23"/>
      <c r="I104" s="20"/>
      <c r="J104" s="24"/>
      <c r="K104" s="21"/>
      <c r="L104" s="21"/>
      <c r="M104" s="21"/>
      <c r="N104" s="25"/>
      <c r="O104" s="26"/>
    </row>
    <row r="105" spans="1:17" ht="16" thickBot="1" x14ac:dyDescent="0.4">
      <c r="A105" s="99"/>
      <c r="B105" s="27"/>
      <c r="C105" s="28"/>
      <c r="D105" s="28"/>
      <c r="E105" s="29">
        <f>SUM(E94:E104)</f>
        <v>39.309999999999995</v>
      </c>
      <c r="F105" s="28"/>
      <c r="G105" s="28">
        <f>SUM(G94:G104)</f>
        <v>1124</v>
      </c>
      <c r="H105" s="29">
        <f>SUM(H94:H104)</f>
        <v>42.56</v>
      </c>
      <c r="I105" s="28"/>
      <c r="J105" s="30">
        <f t="shared" ref="J105:O105" si="10">SUM(J94:J104)</f>
        <v>144243.4</v>
      </c>
      <c r="K105" s="29">
        <f t="shared" si="10"/>
        <v>30.797999999999995</v>
      </c>
      <c r="L105" s="29">
        <f t="shared" si="10"/>
        <v>24.792389999999997</v>
      </c>
      <c r="M105" s="30">
        <f t="shared" si="10"/>
        <v>382792.34258999996</v>
      </c>
      <c r="N105" s="31">
        <f t="shared" si="10"/>
        <v>10779.299999999997</v>
      </c>
      <c r="O105" s="32">
        <f t="shared" si="10"/>
        <v>665015.04258999997</v>
      </c>
      <c r="P105" t="s">
        <v>26</v>
      </c>
      <c r="Q105" t="s">
        <v>83</v>
      </c>
    </row>
    <row r="106" spans="1:17" ht="15" thickBot="1" x14ac:dyDescent="0.4"/>
    <row r="107" spans="1:17" x14ac:dyDescent="0.35">
      <c r="A107" s="99">
        <v>8</v>
      </c>
      <c r="B107" s="110" t="s">
        <v>0</v>
      </c>
      <c r="C107" s="102" t="s">
        <v>1</v>
      </c>
      <c r="D107" s="102" t="s">
        <v>2</v>
      </c>
      <c r="E107" s="108" t="s">
        <v>3</v>
      </c>
      <c r="F107" s="102" t="s">
        <v>4</v>
      </c>
      <c r="G107" s="102"/>
      <c r="H107" s="102"/>
      <c r="I107" s="102"/>
      <c r="J107" s="102"/>
      <c r="K107" s="102" t="s">
        <v>5</v>
      </c>
      <c r="L107" s="104" t="s">
        <v>6</v>
      </c>
      <c r="M107" s="106" t="s">
        <v>7</v>
      </c>
      <c r="N107" s="108" t="s">
        <v>8</v>
      </c>
      <c r="O107" s="100" t="s">
        <v>9</v>
      </c>
    </row>
    <row r="108" spans="1:17" ht="15" thickBot="1" x14ac:dyDescent="0.4">
      <c r="A108" s="99"/>
      <c r="B108" s="111"/>
      <c r="C108" s="103"/>
      <c r="D108" s="103"/>
      <c r="E108" s="109"/>
      <c r="F108" s="3" t="s">
        <v>10</v>
      </c>
      <c r="G108" s="3" t="s">
        <v>11</v>
      </c>
      <c r="H108" s="3" t="s">
        <v>12</v>
      </c>
      <c r="I108" s="3" t="s">
        <v>13</v>
      </c>
      <c r="J108" s="3" t="s">
        <v>14</v>
      </c>
      <c r="K108" s="103"/>
      <c r="L108" s="105"/>
      <c r="M108" s="107"/>
      <c r="N108" s="109"/>
      <c r="O108" s="101"/>
    </row>
    <row r="109" spans="1:17" ht="15" x14ac:dyDescent="0.35">
      <c r="A109" s="99"/>
      <c r="B109" s="1">
        <v>1</v>
      </c>
      <c r="C109" s="2" t="s">
        <v>77</v>
      </c>
      <c r="D109" s="88"/>
      <c r="E109" s="4">
        <v>29.83</v>
      </c>
      <c r="F109" s="5" t="s">
        <v>24</v>
      </c>
      <c r="G109" s="2">
        <v>267</v>
      </c>
      <c r="H109" s="37">
        <v>1.42</v>
      </c>
      <c r="I109" s="2">
        <v>40000</v>
      </c>
      <c r="J109" s="7">
        <f>I109*H109</f>
        <v>56800</v>
      </c>
      <c r="K109" s="8">
        <f>E109-(H109+H110+H111+H112)/5</f>
        <v>26.427999999999997</v>
      </c>
      <c r="L109" s="8">
        <f>K109*80.5%</f>
        <v>21.274539999999998</v>
      </c>
      <c r="M109" s="7">
        <f>L109*15519</f>
        <v>330159.58625999995</v>
      </c>
      <c r="N109" s="7">
        <f>K109*350</f>
        <v>9249.7999999999993</v>
      </c>
      <c r="O109" s="9">
        <f>N109+M109+J109+J110+J111+J112</f>
        <v>539978.38625999994</v>
      </c>
    </row>
    <row r="110" spans="1:17" ht="15" x14ac:dyDescent="0.35">
      <c r="A110" s="99"/>
      <c r="B110" s="10" t="s">
        <v>63</v>
      </c>
      <c r="C110" s="11"/>
      <c r="D110" s="80"/>
      <c r="E110" s="12"/>
      <c r="F110" s="13" t="s">
        <v>24</v>
      </c>
      <c r="G110" s="11">
        <v>226</v>
      </c>
      <c r="H110" s="44">
        <v>3.54</v>
      </c>
      <c r="I110" s="11">
        <v>40000</v>
      </c>
      <c r="J110" s="15">
        <f>I110*H110</f>
        <v>141600</v>
      </c>
      <c r="K110" s="16"/>
      <c r="L110" s="16"/>
      <c r="M110" s="15"/>
      <c r="N110" s="15"/>
      <c r="O110" s="17"/>
    </row>
    <row r="111" spans="1:17" ht="15" x14ac:dyDescent="0.35">
      <c r="A111" s="99"/>
      <c r="B111" s="10"/>
      <c r="C111" s="11"/>
      <c r="D111" s="80"/>
      <c r="E111" s="12"/>
      <c r="F111" s="13" t="s">
        <v>23</v>
      </c>
      <c r="G111" s="11">
        <v>2</v>
      </c>
      <c r="H111" s="95">
        <v>5.37</v>
      </c>
      <c r="I111" s="11">
        <v>180</v>
      </c>
      <c r="J111" s="15">
        <f t="shared" ref="J111:J112" si="11">I111*H111</f>
        <v>966.6</v>
      </c>
      <c r="K111" s="16"/>
      <c r="L111" s="16"/>
      <c r="M111" s="15"/>
      <c r="N111" s="15"/>
      <c r="O111" s="17"/>
    </row>
    <row r="112" spans="1:17" ht="15" x14ac:dyDescent="0.35">
      <c r="A112" s="99"/>
      <c r="B112" s="10"/>
      <c r="C112" s="11"/>
      <c r="D112" s="80"/>
      <c r="E112" s="12"/>
      <c r="F112" s="13" t="s">
        <v>22</v>
      </c>
      <c r="G112" s="11">
        <v>2</v>
      </c>
      <c r="H112" s="95">
        <v>6.68</v>
      </c>
      <c r="I112" s="11">
        <v>180</v>
      </c>
      <c r="J112" s="15">
        <f t="shared" si="11"/>
        <v>1202.3999999999999</v>
      </c>
      <c r="K112" s="16"/>
      <c r="L112" s="16"/>
      <c r="M112" s="15"/>
      <c r="N112" s="15"/>
      <c r="O112" s="17"/>
    </row>
    <row r="113" spans="1:17" ht="16" thickBot="1" x14ac:dyDescent="0.4">
      <c r="A113" s="99"/>
      <c r="B113" s="19"/>
      <c r="C113" s="20"/>
      <c r="D113" s="20"/>
      <c r="E113" s="21"/>
      <c r="F113" s="22"/>
      <c r="G113" s="22"/>
      <c r="H113" s="23"/>
      <c r="I113" s="20"/>
      <c r="J113" s="24"/>
      <c r="K113" s="21"/>
      <c r="L113" s="21"/>
      <c r="M113" s="21"/>
      <c r="N113" s="25"/>
      <c r="O113" s="26"/>
    </row>
    <row r="114" spans="1:17" ht="16" thickBot="1" x14ac:dyDescent="0.4">
      <c r="A114" s="99"/>
      <c r="B114" s="27"/>
      <c r="C114" s="28"/>
      <c r="D114" s="28"/>
      <c r="E114" s="29">
        <f>SUM(E109:E113)</f>
        <v>29.83</v>
      </c>
      <c r="F114" s="28"/>
      <c r="G114" s="28">
        <f>SUM(G109:G113)</f>
        <v>497</v>
      </c>
      <c r="H114" s="29">
        <f>SUM(H109:H113)</f>
        <v>17.009999999999998</v>
      </c>
      <c r="I114" s="28"/>
      <c r="J114" s="30">
        <f t="shared" ref="J114:O114" si="12">SUM(J109:J113)</f>
        <v>200569</v>
      </c>
      <c r="K114" s="29">
        <f t="shared" si="12"/>
        <v>26.427999999999997</v>
      </c>
      <c r="L114" s="29">
        <f t="shared" si="12"/>
        <v>21.274539999999998</v>
      </c>
      <c r="M114" s="30">
        <f t="shared" si="12"/>
        <v>330159.58625999995</v>
      </c>
      <c r="N114" s="31">
        <f t="shared" si="12"/>
        <v>9249.7999999999993</v>
      </c>
      <c r="O114" s="32">
        <f t="shared" si="12"/>
        <v>539978.38625999994</v>
      </c>
      <c r="P114" t="s">
        <v>26</v>
      </c>
      <c r="Q114" t="s">
        <v>83</v>
      </c>
    </row>
    <row r="115" spans="1:17" ht="15" thickBot="1" x14ac:dyDescent="0.4"/>
    <row r="116" spans="1:17" x14ac:dyDescent="0.35">
      <c r="A116" s="99">
        <v>9</v>
      </c>
      <c r="B116" s="110" t="s">
        <v>0</v>
      </c>
      <c r="C116" s="102" t="s">
        <v>1</v>
      </c>
      <c r="D116" s="102" t="s">
        <v>2</v>
      </c>
      <c r="E116" s="108" t="s">
        <v>3</v>
      </c>
      <c r="F116" s="102" t="s">
        <v>4</v>
      </c>
      <c r="G116" s="102"/>
      <c r="H116" s="102"/>
      <c r="I116" s="102"/>
      <c r="J116" s="102"/>
      <c r="K116" s="102" t="s">
        <v>5</v>
      </c>
      <c r="L116" s="104" t="s">
        <v>6</v>
      </c>
      <c r="M116" s="106" t="s">
        <v>7</v>
      </c>
      <c r="N116" s="108" t="s">
        <v>8</v>
      </c>
      <c r="O116" s="100" t="s">
        <v>9</v>
      </c>
    </row>
    <row r="117" spans="1:17" ht="15" thickBot="1" x14ac:dyDescent="0.4">
      <c r="A117" s="99"/>
      <c r="B117" s="111"/>
      <c r="C117" s="103"/>
      <c r="D117" s="103"/>
      <c r="E117" s="109"/>
      <c r="F117" s="3" t="s">
        <v>10</v>
      </c>
      <c r="G117" s="3" t="s">
        <v>11</v>
      </c>
      <c r="H117" s="3" t="s">
        <v>12</v>
      </c>
      <c r="I117" s="3" t="s">
        <v>13</v>
      </c>
      <c r="J117" s="3" t="s">
        <v>14</v>
      </c>
      <c r="K117" s="103"/>
      <c r="L117" s="105"/>
      <c r="M117" s="107"/>
      <c r="N117" s="109"/>
      <c r="O117" s="101"/>
    </row>
    <row r="118" spans="1:17" ht="15" x14ac:dyDescent="0.35">
      <c r="A118" s="99"/>
      <c r="B118" s="1">
        <v>1</v>
      </c>
      <c r="C118" s="2" t="s">
        <v>88</v>
      </c>
      <c r="D118" s="88" t="s">
        <v>84</v>
      </c>
      <c r="E118" s="4">
        <v>120.89</v>
      </c>
      <c r="F118" s="5" t="s">
        <v>24</v>
      </c>
      <c r="G118" s="2">
        <v>3921</v>
      </c>
      <c r="H118" s="37">
        <v>10.98</v>
      </c>
      <c r="I118" s="2">
        <v>40000</v>
      </c>
      <c r="J118" s="7">
        <f>I118*H118</f>
        <v>439200</v>
      </c>
      <c r="K118" s="8">
        <f>E118-(H118+H119+H120+H121)/5</f>
        <v>113.184</v>
      </c>
      <c r="L118" s="8">
        <f>K118*80.5%</f>
        <v>91.113120000000009</v>
      </c>
      <c r="M118" s="7">
        <f>L118*15648</f>
        <v>1425738.1017600002</v>
      </c>
      <c r="N118" s="7">
        <f>K118*350</f>
        <v>39614.400000000001</v>
      </c>
      <c r="O118" s="9">
        <f>N118+M118+J118+J119+J120+J121</f>
        <v>1962529.0017600001</v>
      </c>
    </row>
    <row r="119" spans="1:17" ht="15" x14ac:dyDescent="0.35">
      <c r="A119" s="99"/>
      <c r="B119" s="10" t="s">
        <v>63</v>
      </c>
      <c r="C119" s="11"/>
      <c r="D119" s="80"/>
      <c r="E119" s="12"/>
      <c r="F119" s="13" t="s">
        <v>24</v>
      </c>
      <c r="G119" s="11">
        <v>128</v>
      </c>
      <c r="H119" s="44">
        <v>1.33</v>
      </c>
      <c r="I119" s="11">
        <v>40000</v>
      </c>
      <c r="J119" s="15">
        <f>I119*H119</f>
        <v>53200</v>
      </c>
      <c r="K119" s="16"/>
      <c r="L119" s="16"/>
      <c r="M119" s="15"/>
      <c r="N119" s="15"/>
      <c r="O119" s="17"/>
    </row>
    <row r="120" spans="1:17" ht="15" x14ac:dyDescent="0.35">
      <c r="A120" s="99"/>
      <c r="B120" s="10"/>
      <c r="C120" s="11"/>
      <c r="D120" s="80"/>
      <c r="E120" s="12"/>
      <c r="F120" s="13" t="s">
        <v>23</v>
      </c>
      <c r="G120" s="11">
        <v>1</v>
      </c>
      <c r="H120" s="95">
        <v>9.35</v>
      </c>
      <c r="I120" s="11">
        <v>150</v>
      </c>
      <c r="J120" s="15">
        <f t="shared" ref="J120:J121" si="13">I120*H120</f>
        <v>1402.5</v>
      </c>
      <c r="K120" s="16"/>
      <c r="L120" s="16"/>
      <c r="M120" s="15"/>
      <c r="N120" s="15"/>
      <c r="O120" s="17"/>
    </row>
    <row r="121" spans="1:17" ht="15" x14ac:dyDescent="0.35">
      <c r="A121" s="99"/>
      <c r="B121" s="10"/>
      <c r="C121" s="11"/>
      <c r="D121" s="80"/>
      <c r="E121" s="12"/>
      <c r="F121" s="13" t="s">
        <v>54</v>
      </c>
      <c r="G121" s="11">
        <v>9</v>
      </c>
      <c r="H121" s="95">
        <v>16.87</v>
      </c>
      <c r="I121" s="11">
        <v>200</v>
      </c>
      <c r="J121" s="15">
        <f t="shared" si="13"/>
        <v>3374</v>
      </c>
      <c r="K121" s="16"/>
      <c r="L121" s="16"/>
      <c r="M121" s="15"/>
      <c r="N121" s="15"/>
      <c r="O121" s="17"/>
    </row>
    <row r="122" spans="1:17" ht="15" x14ac:dyDescent="0.35">
      <c r="A122" s="99"/>
      <c r="B122" s="10"/>
      <c r="C122" s="11"/>
      <c r="D122" s="80"/>
      <c r="E122" s="12"/>
      <c r="F122" s="13"/>
      <c r="G122" s="11"/>
      <c r="H122" s="14"/>
      <c r="I122" s="11"/>
      <c r="J122" s="15"/>
      <c r="K122" s="16"/>
      <c r="L122" s="16"/>
      <c r="M122" s="15"/>
      <c r="N122" s="15"/>
      <c r="O122" s="17"/>
    </row>
    <row r="123" spans="1:17" ht="15" x14ac:dyDescent="0.35">
      <c r="A123" s="99"/>
      <c r="B123" s="10">
        <v>2</v>
      </c>
      <c r="C123" s="11"/>
      <c r="D123" s="80"/>
      <c r="E123" s="18">
        <v>9.9499999999999993</v>
      </c>
      <c r="F123" s="13" t="s">
        <v>24</v>
      </c>
      <c r="G123" s="11">
        <v>248</v>
      </c>
      <c r="H123" s="44">
        <v>0.76</v>
      </c>
      <c r="I123" s="11">
        <v>40000</v>
      </c>
      <c r="J123" s="15">
        <f>I123*H123</f>
        <v>30400</v>
      </c>
      <c r="K123" s="16">
        <f>E123-(H123+H124+H125+H126)/5</f>
        <v>8.4779999999999998</v>
      </c>
      <c r="L123" s="16">
        <f>K123*80.5%</f>
        <v>6.8247900000000001</v>
      </c>
      <c r="M123" s="15">
        <f>L123*15648</f>
        <v>106794.31392</v>
      </c>
      <c r="N123" s="15">
        <f>K123*350</f>
        <v>2967.2999999999997</v>
      </c>
      <c r="O123" s="17">
        <f>N123+M123+J123+J124+J125+J126</f>
        <v>147003.61392</v>
      </c>
    </row>
    <row r="124" spans="1:17" ht="15" x14ac:dyDescent="0.35">
      <c r="A124" s="99"/>
      <c r="B124" s="10" t="s">
        <v>63</v>
      </c>
      <c r="C124" s="11"/>
      <c r="D124" s="80"/>
      <c r="E124" s="12"/>
      <c r="F124" s="13" t="s">
        <v>24</v>
      </c>
      <c r="G124" s="11">
        <v>15</v>
      </c>
      <c r="H124" s="44">
        <v>0.14000000000000001</v>
      </c>
      <c r="I124" s="11">
        <v>40000</v>
      </c>
      <c r="J124" s="15">
        <f>I124*H124</f>
        <v>5600.0000000000009</v>
      </c>
      <c r="K124" s="16"/>
      <c r="L124" s="16"/>
      <c r="M124" s="15"/>
      <c r="N124" s="15"/>
      <c r="O124" s="17"/>
    </row>
    <row r="125" spans="1:17" ht="15" x14ac:dyDescent="0.35">
      <c r="A125" s="99"/>
      <c r="B125" s="10"/>
      <c r="C125" s="11"/>
      <c r="D125" s="80"/>
      <c r="E125" s="12"/>
      <c r="F125" s="13" t="s">
        <v>23</v>
      </c>
      <c r="G125" s="11">
        <v>1</v>
      </c>
      <c r="H125" s="95">
        <v>1</v>
      </c>
      <c r="I125" s="11">
        <v>150</v>
      </c>
      <c r="J125" s="15">
        <f t="shared" ref="J125:J126" si="14">I125*H125</f>
        <v>150</v>
      </c>
      <c r="K125" s="16"/>
      <c r="L125" s="16"/>
      <c r="M125" s="15"/>
      <c r="N125" s="15"/>
      <c r="O125" s="17"/>
    </row>
    <row r="126" spans="1:17" ht="15" x14ac:dyDescent="0.35">
      <c r="A126" s="99"/>
      <c r="B126" s="10"/>
      <c r="C126" s="11"/>
      <c r="D126" s="80"/>
      <c r="E126" s="12"/>
      <c r="F126" s="13" t="s">
        <v>54</v>
      </c>
      <c r="G126" s="11">
        <v>11</v>
      </c>
      <c r="H126" s="95">
        <v>5.46</v>
      </c>
      <c r="I126" s="11">
        <v>200</v>
      </c>
      <c r="J126" s="15">
        <f t="shared" si="14"/>
        <v>1092</v>
      </c>
      <c r="K126" s="16"/>
      <c r="L126" s="16"/>
      <c r="M126" s="15"/>
      <c r="N126" s="15"/>
      <c r="O126" s="17"/>
    </row>
    <row r="127" spans="1:17" ht="15" x14ac:dyDescent="0.35">
      <c r="A127" s="99"/>
      <c r="B127" s="10"/>
      <c r="C127" s="11"/>
      <c r="D127" s="80"/>
      <c r="E127" s="12"/>
      <c r="F127" s="13"/>
      <c r="G127" s="11"/>
      <c r="H127" s="14"/>
      <c r="I127" s="11"/>
      <c r="J127" s="15"/>
      <c r="K127" s="16"/>
      <c r="L127" s="16"/>
      <c r="M127" s="15"/>
      <c r="N127" s="15"/>
      <c r="O127" s="17"/>
    </row>
    <row r="128" spans="1:17" ht="15" x14ac:dyDescent="0.35">
      <c r="A128" s="99"/>
      <c r="B128" s="10">
        <v>3</v>
      </c>
      <c r="C128" s="11"/>
      <c r="D128" s="80"/>
      <c r="E128" s="18">
        <v>26.73</v>
      </c>
      <c r="F128" s="13" t="s">
        <v>24</v>
      </c>
      <c r="G128" s="11">
        <v>726</v>
      </c>
      <c r="H128" s="44">
        <v>2.0099999999999998</v>
      </c>
      <c r="I128" s="11">
        <v>40000</v>
      </c>
      <c r="J128" s="15">
        <f>I128*H128</f>
        <v>80399.999999999985</v>
      </c>
      <c r="K128" s="16">
        <f>E128-(H128+H129+H130+H131)/5</f>
        <v>23.804000000000002</v>
      </c>
      <c r="L128" s="16">
        <f>K128*80.5%</f>
        <v>19.162220000000001</v>
      </c>
      <c r="M128" s="15">
        <f>L128*15648</f>
        <v>299850.41856000002</v>
      </c>
      <c r="N128" s="15">
        <f>K128*350</f>
        <v>8331.4000000000015</v>
      </c>
      <c r="O128" s="17">
        <f>N128+M128+J128+J129+J130+J131</f>
        <v>402067.31856000004</v>
      </c>
    </row>
    <row r="129" spans="1:17" ht="15" x14ac:dyDescent="0.35">
      <c r="A129" s="99"/>
      <c r="B129" s="10" t="s">
        <v>63</v>
      </c>
      <c r="C129" s="11"/>
      <c r="D129" s="80"/>
      <c r="E129" s="12"/>
      <c r="F129" s="13" t="s">
        <v>24</v>
      </c>
      <c r="G129" s="11">
        <v>30</v>
      </c>
      <c r="H129" s="44">
        <v>0.28000000000000003</v>
      </c>
      <c r="I129" s="11">
        <v>40000</v>
      </c>
      <c r="J129" s="15">
        <f>I129*H129</f>
        <v>11200.000000000002</v>
      </c>
      <c r="K129" s="16"/>
      <c r="L129" s="16"/>
      <c r="M129" s="15"/>
      <c r="N129" s="15"/>
      <c r="O129" s="17"/>
    </row>
    <row r="130" spans="1:17" ht="15" x14ac:dyDescent="0.35">
      <c r="A130" s="99"/>
      <c r="B130" s="10"/>
      <c r="C130" s="11"/>
      <c r="D130" s="80"/>
      <c r="E130" s="12"/>
      <c r="F130" s="13" t="s">
        <v>23</v>
      </c>
      <c r="G130" s="11">
        <v>4</v>
      </c>
      <c r="H130" s="95">
        <v>3.65</v>
      </c>
      <c r="I130" s="11">
        <v>150</v>
      </c>
      <c r="J130" s="15">
        <f t="shared" ref="J130:J131" si="15">I130*H130</f>
        <v>547.5</v>
      </c>
      <c r="K130" s="16"/>
      <c r="L130" s="16"/>
      <c r="M130" s="15"/>
      <c r="N130" s="15"/>
      <c r="O130" s="17"/>
    </row>
    <row r="131" spans="1:17" ht="15" x14ac:dyDescent="0.35">
      <c r="A131" s="99"/>
      <c r="B131" s="10"/>
      <c r="C131" s="11"/>
      <c r="D131" s="80"/>
      <c r="E131" s="12"/>
      <c r="F131" s="13" t="s">
        <v>54</v>
      </c>
      <c r="G131" s="11">
        <v>18</v>
      </c>
      <c r="H131" s="95">
        <v>8.69</v>
      </c>
      <c r="I131" s="11">
        <v>200</v>
      </c>
      <c r="J131" s="15">
        <f t="shared" si="15"/>
        <v>1738</v>
      </c>
      <c r="K131" s="16"/>
      <c r="L131" s="16"/>
      <c r="M131" s="15"/>
      <c r="N131" s="15"/>
      <c r="O131" s="17"/>
    </row>
    <row r="132" spans="1:17" ht="15" x14ac:dyDescent="0.35">
      <c r="A132" s="99"/>
      <c r="B132" s="10"/>
      <c r="C132" s="11"/>
      <c r="D132" s="80"/>
      <c r="E132" s="12"/>
      <c r="F132" s="13"/>
      <c r="G132" s="11"/>
      <c r="H132" s="14"/>
      <c r="I132" s="11"/>
      <c r="J132" s="15"/>
      <c r="K132" s="16"/>
      <c r="L132" s="16"/>
      <c r="M132" s="15"/>
      <c r="N132" s="15"/>
      <c r="O132" s="17"/>
    </row>
    <row r="133" spans="1:17" ht="15" x14ac:dyDescent="0.35">
      <c r="A133" s="99"/>
      <c r="B133" s="10">
        <v>4</v>
      </c>
      <c r="C133" s="11"/>
      <c r="D133" s="80" t="s">
        <v>80</v>
      </c>
      <c r="E133" s="18">
        <v>146.94999999999999</v>
      </c>
      <c r="F133" s="13" t="s">
        <v>24</v>
      </c>
      <c r="G133" s="11">
        <v>3935</v>
      </c>
      <c r="H133" s="44">
        <v>10.8</v>
      </c>
      <c r="I133" s="11">
        <v>40000</v>
      </c>
      <c r="J133" s="15">
        <f>I133*H133</f>
        <v>432000</v>
      </c>
      <c r="K133" s="16">
        <f>E133-(H133+H134+H135+H136)/5-K134</f>
        <v>119.50999999999998</v>
      </c>
      <c r="L133" s="16">
        <f>K133*80.5%</f>
        <v>96.205549999999988</v>
      </c>
      <c r="M133" s="15">
        <f>L133*15648</f>
        <v>1505424.4463999998</v>
      </c>
      <c r="N133" s="15">
        <f>K133*350</f>
        <v>41828.499999999993</v>
      </c>
      <c r="O133" s="17">
        <f>N133+M133+J133+J134+J135+J136+M134</f>
        <v>2314954.4887999999</v>
      </c>
    </row>
    <row r="134" spans="1:17" ht="15" x14ac:dyDescent="0.35">
      <c r="A134" s="99"/>
      <c r="B134" s="10" t="s">
        <v>63</v>
      </c>
      <c r="C134" s="11"/>
      <c r="D134" s="80"/>
      <c r="E134" s="12"/>
      <c r="F134" s="13" t="s">
        <v>24</v>
      </c>
      <c r="G134" s="11">
        <v>187</v>
      </c>
      <c r="H134" s="44">
        <v>1.9</v>
      </c>
      <c r="I134" s="11">
        <v>40000</v>
      </c>
      <c r="J134" s="15">
        <f>I134*H134</f>
        <v>76000</v>
      </c>
      <c r="K134" s="16">
        <v>19.61</v>
      </c>
      <c r="L134" s="16">
        <f>K134*83%</f>
        <v>16.276299999999999</v>
      </c>
      <c r="M134" s="15">
        <f>L134*15648</f>
        <v>254691.54239999998</v>
      </c>
      <c r="N134" s="15"/>
      <c r="O134" s="17"/>
    </row>
    <row r="135" spans="1:17" ht="15" x14ac:dyDescent="0.35">
      <c r="A135" s="99"/>
      <c r="B135" s="10"/>
      <c r="C135" s="11"/>
      <c r="D135" s="80"/>
      <c r="E135" s="12"/>
      <c r="F135" s="13" t="s">
        <v>23</v>
      </c>
      <c r="G135" s="11">
        <v>2</v>
      </c>
      <c r="H135" s="95">
        <v>5.6</v>
      </c>
      <c r="I135" s="11">
        <v>150</v>
      </c>
      <c r="J135" s="15">
        <f t="shared" ref="J135:J136" si="16">I135*H135</f>
        <v>840</v>
      </c>
      <c r="K135" s="16"/>
      <c r="L135" s="16"/>
      <c r="M135" s="15"/>
      <c r="N135" s="15"/>
      <c r="O135" s="17"/>
    </row>
    <row r="136" spans="1:17" ht="15" x14ac:dyDescent="0.35">
      <c r="A136" s="99"/>
      <c r="B136" s="10"/>
      <c r="C136" s="11"/>
      <c r="D136" s="80"/>
      <c r="E136" s="12"/>
      <c r="F136" s="13" t="s">
        <v>54</v>
      </c>
      <c r="G136" s="11">
        <v>30</v>
      </c>
      <c r="H136" s="95">
        <v>20.85</v>
      </c>
      <c r="I136" s="11">
        <v>200</v>
      </c>
      <c r="J136" s="15">
        <f t="shared" si="16"/>
        <v>4170</v>
      </c>
      <c r="K136" s="16"/>
      <c r="L136" s="16"/>
      <c r="M136" s="15"/>
      <c r="N136" s="15"/>
      <c r="O136" s="17"/>
    </row>
    <row r="137" spans="1:17" ht="15" x14ac:dyDescent="0.35">
      <c r="A137" s="99"/>
      <c r="B137" s="10"/>
      <c r="C137" s="11"/>
      <c r="D137" s="80"/>
      <c r="E137" s="12"/>
      <c r="F137" s="13"/>
      <c r="G137" s="11"/>
      <c r="H137" s="14"/>
      <c r="I137" s="11"/>
      <c r="J137" s="15"/>
      <c r="K137" s="16"/>
      <c r="L137" s="16"/>
      <c r="M137" s="15"/>
      <c r="N137" s="15"/>
      <c r="O137" s="17"/>
    </row>
    <row r="138" spans="1:17" ht="15" x14ac:dyDescent="0.35">
      <c r="A138" s="99"/>
      <c r="B138" s="10">
        <v>5</v>
      </c>
      <c r="C138" s="11"/>
      <c r="D138" s="80"/>
      <c r="E138" s="18">
        <v>133</v>
      </c>
      <c r="F138" s="13" t="s">
        <v>24</v>
      </c>
      <c r="G138" s="11">
        <v>4262</v>
      </c>
      <c r="H138" s="44">
        <v>11.19</v>
      </c>
      <c r="I138" s="11">
        <v>40000</v>
      </c>
      <c r="J138" s="15">
        <f>I138*H138</f>
        <v>447600</v>
      </c>
      <c r="K138" s="16">
        <f>E138-(H138+H139+H140+H141)/5-K139</f>
        <v>116.768</v>
      </c>
      <c r="L138" s="16">
        <f>K138*80.5%</f>
        <v>93.99824000000001</v>
      </c>
      <c r="M138" s="15">
        <f>L138*15648</f>
        <v>1470884.4595200003</v>
      </c>
      <c r="N138" s="15">
        <f>K138*350</f>
        <v>40868.800000000003</v>
      </c>
      <c r="O138" s="17">
        <f>N138+M138+J138+J139+J140+J141+M139</f>
        <v>2160813.5955200004</v>
      </c>
    </row>
    <row r="139" spans="1:17" ht="15" x14ac:dyDescent="0.35">
      <c r="A139" s="99"/>
      <c r="B139" s="10" t="s">
        <v>63</v>
      </c>
      <c r="C139" s="11"/>
      <c r="D139" s="80"/>
      <c r="E139" s="12"/>
      <c r="F139" s="13" t="s">
        <v>24</v>
      </c>
      <c r="G139" s="11">
        <v>190</v>
      </c>
      <c r="H139" s="44">
        <v>1.74</v>
      </c>
      <c r="I139" s="11">
        <v>40000</v>
      </c>
      <c r="J139" s="15">
        <f>I139*H139</f>
        <v>69600</v>
      </c>
      <c r="K139" s="16">
        <v>10.29</v>
      </c>
      <c r="L139" s="16">
        <f>K139*80%</f>
        <v>8.2319999999999993</v>
      </c>
      <c r="M139" s="15">
        <f>L139*15648</f>
        <v>128814.336</v>
      </c>
      <c r="N139" s="15"/>
      <c r="O139" s="17"/>
    </row>
    <row r="140" spans="1:17" ht="15" x14ac:dyDescent="0.35">
      <c r="A140" s="99"/>
      <c r="B140" s="10"/>
      <c r="C140" s="11"/>
      <c r="D140" s="80"/>
      <c r="E140" s="12"/>
      <c r="F140" s="13" t="s">
        <v>23</v>
      </c>
      <c r="G140" s="11">
        <v>2</v>
      </c>
      <c r="H140" s="95">
        <v>6.2</v>
      </c>
      <c r="I140" s="11">
        <v>150</v>
      </c>
      <c r="J140" s="15">
        <f t="shared" ref="J140:J141" si="17">I140*H140</f>
        <v>930</v>
      </c>
      <c r="K140" s="16"/>
      <c r="L140" s="16"/>
      <c r="M140" s="15"/>
      <c r="N140" s="15"/>
      <c r="O140" s="17"/>
    </row>
    <row r="141" spans="1:17" ht="15" x14ac:dyDescent="0.35">
      <c r="A141" s="99"/>
      <c r="B141" s="10"/>
      <c r="C141" s="11"/>
      <c r="D141" s="80"/>
      <c r="E141" s="12"/>
      <c r="F141" s="13" t="s">
        <v>54</v>
      </c>
      <c r="G141" s="11">
        <v>11</v>
      </c>
      <c r="H141" s="95">
        <v>10.58</v>
      </c>
      <c r="I141" s="11">
        <v>200</v>
      </c>
      <c r="J141" s="15">
        <f t="shared" si="17"/>
        <v>2116</v>
      </c>
      <c r="K141" s="16"/>
      <c r="L141" s="16"/>
      <c r="M141" s="15"/>
      <c r="N141" s="15"/>
      <c r="O141" s="17"/>
    </row>
    <row r="142" spans="1:17" ht="15" x14ac:dyDescent="0.35">
      <c r="A142" s="99"/>
      <c r="B142" s="10"/>
      <c r="C142" s="11"/>
      <c r="D142" s="80"/>
      <c r="E142" s="12"/>
      <c r="F142" s="13"/>
      <c r="G142" s="11"/>
      <c r="H142" s="14"/>
      <c r="I142" s="11"/>
      <c r="J142" s="15"/>
      <c r="K142" s="16"/>
      <c r="L142" s="16"/>
      <c r="M142" s="15"/>
      <c r="N142" s="15"/>
      <c r="O142" s="17"/>
    </row>
    <row r="143" spans="1:17" ht="16" thickBot="1" x14ac:dyDescent="0.4">
      <c r="A143" s="99"/>
      <c r="B143" s="19"/>
      <c r="C143" s="20"/>
      <c r="D143" s="20"/>
      <c r="E143" s="21"/>
      <c r="F143" s="22"/>
      <c r="G143" s="22"/>
      <c r="H143" s="23"/>
      <c r="I143" s="20"/>
      <c r="J143" s="24"/>
      <c r="K143" s="21"/>
      <c r="L143" s="21"/>
      <c r="M143" s="21"/>
      <c r="N143" s="25"/>
      <c r="O143" s="26"/>
    </row>
    <row r="144" spans="1:17" ht="16" thickBot="1" x14ac:dyDescent="0.4">
      <c r="A144" s="99"/>
      <c r="B144" s="27"/>
      <c r="C144" s="28"/>
      <c r="D144" s="28"/>
      <c r="E144" s="29">
        <f>SUM(E118:E143)</f>
        <v>437.52</v>
      </c>
      <c r="F144" s="28"/>
      <c r="G144" s="28">
        <f>SUM(G118:G143)</f>
        <v>13731</v>
      </c>
      <c r="H144" s="29">
        <f>SUM(H118:H143)</f>
        <v>129.38</v>
      </c>
      <c r="I144" s="28"/>
      <c r="J144" s="30">
        <f t="shared" ref="J144:O144" si="18">SUM(J118:J143)</f>
        <v>1661560</v>
      </c>
      <c r="K144" s="29">
        <f t="shared" si="18"/>
        <v>411.64400000000006</v>
      </c>
      <c r="L144" s="29">
        <f t="shared" si="18"/>
        <v>331.81222000000002</v>
      </c>
      <c r="M144" s="30">
        <f t="shared" si="18"/>
        <v>5192197.6185600003</v>
      </c>
      <c r="N144" s="31">
        <f t="shared" si="18"/>
        <v>133610.40000000002</v>
      </c>
      <c r="O144" s="32">
        <f t="shared" si="18"/>
        <v>6987368.0185600016</v>
      </c>
      <c r="P144" t="s">
        <v>26</v>
      </c>
      <c r="Q144" t="s">
        <v>106</v>
      </c>
    </row>
    <row r="145" spans="1:15" ht="15" thickBot="1" x14ac:dyDescent="0.4"/>
    <row r="146" spans="1:15" x14ac:dyDescent="0.35">
      <c r="A146" s="99">
        <v>10</v>
      </c>
      <c r="B146" s="110" t="s">
        <v>0</v>
      </c>
      <c r="C146" s="102" t="s">
        <v>1</v>
      </c>
      <c r="D146" s="102" t="s">
        <v>2</v>
      </c>
      <c r="E146" s="108" t="s">
        <v>3</v>
      </c>
      <c r="F146" s="102" t="s">
        <v>4</v>
      </c>
      <c r="G146" s="102"/>
      <c r="H146" s="102"/>
      <c r="I146" s="102"/>
      <c r="J146" s="102"/>
      <c r="K146" s="102" t="s">
        <v>5</v>
      </c>
      <c r="L146" s="104" t="s">
        <v>6</v>
      </c>
      <c r="M146" s="106" t="s">
        <v>7</v>
      </c>
      <c r="N146" s="108" t="s">
        <v>8</v>
      </c>
      <c r="O146" s="100" t="s">
        <v>9</v>
      </c>
    </row>
    <row r="147" spans="1:15" ht="15" thickBot="1" x14ac:dyDescent="0.4">
      <c r="A147" s="99"/>
      <c r="B147" s="111"/>
      <c r="C147" s="103"/>
      <c r="D147" s="103"/>
      <c r="E147" s="109"/>
      <c r="F147" s="3" t="s">
        <v>10</v>
      </c>
      <c r="G147" s="3" t="s">
        <v>11</v>
      </c>
      <c r="H147" s="3" t="s">
        <v>12</v>
      </c>
      <c r="I147" s="3" t="s">
        <v>13</v>
      </c>
      <c r="J147" s="3" t="s">
        <v>14</v>
      </c>
      <c r="K147" s="103"/>
      <c r="L147" s="105"/>
      <c r="M147" s="107"/>
      <c r="N147" s="109"/>
      <c r="O147" s="101"/>
    </row>
    <row r="148" spans="1:15" ht="15" x14ac:dyDescent="0.35">
      <c r="A148" s="99"/>
      <c r="B148" s="1">
        <v>1</v>
      </c>
      <c r="C148" s="2" t="s">
        <v>90</v>
      </c>
      <c r="D148" s="88"/>
      <c r="E148" s="4">
        <v>3.69</v>
      </c>
      <c r="F148" s="5" t="s">
        <v>89</v>
      </c>
      <c r="G148" s="2">
        <v>80</v>
      </c>
      <c r="H148" s="37">
        <v>0.42</v>
      </c>
      <c r="I148" s="2">
        <v>40000</v>
      </c>
      <c r="J148" s="7">
        <f>I148*H148</f>
        <v>16800</v>
      </c>
      <c r="K148" s="8">
        <f>E148-(H148+H149)/5</f>
        <v>3.6059999999999999</v>
      </c>
      <c r="L148" s="8">
        <f>K148*80.5%</f>
        <v>2.9028300000000002</v>
      </c>
      <c r="M148" s="7">
        <f>L148*14432</f>
        <v>41893.64256</v>
      </c>
      <c r="N148" s="7">
        <f>K148*350</f>
        <v>1262.0999999999999</v>
      </c>
      <c r="O148" s="9">
        <f>N148+M148+J148+J149</f>
        <v>59955.742559999999</v>
      </c>
    </row>
    <row r="149" spans="1:15" ht="15" x14ac:dyDescent="0.35">
      <c r="A149" s="99"/>
      <c r="B149" s="10" t="s">
        <v>63</v>
      </c>
      <c r="C149" s="11"/>
      <c r="D149" s="80"/>
      <c r="E149" s="12"/>
      <c r="F149" s="13"/>
      <c r="G149" s="11"/>
      <c r="H149" s="44"/>
      <c r="I149" s="11"/>
      <c r="J149" s="15"/>
      <c r="K149" s="16"/>
      <c r="L149" s="16"/>
      <c r="M149" s="15"/>
      <c r="N149" s="15"/>
      <c r="O149" s="17"/>
    </row>
    <row r="150" spans="1:15" ht="15" x14ac:dyDescent="0.35">
      <c r="A150" s="99"/>
      <c r="B150" s="10"/>
      <c r="C150" s="11"/>
      <c r="D150" s="80"/>
      <c r="E150" s="12"/>
      <c r="F150" s="13"/>
      <c r="G150" s="11"/>
      <c r="H150" s="44"/>
      <c r="I150" s="11"/>
      <c r="J150" s="15"/>
      <c r="K150" s="16"/>
      <c r="L150" s="16"/>
      <c r="M150" s="15"/>
      <c r="N150" s="15"/>
      <c r="O150" s="17"/>
    </row>
    <row r="151" spans="1:15" ht="15" x14ac:dyDescent="0.35">
      <c r="A151" s="99"/>
      <c r="B151" s="10"/>
      <c r="C151" s="11"/>
      <c r="D151" s="80"/>
      <c r="E151" s="12"/>
      <c r="F151" s="13"/>
      <c r="G151" s="11"/>
      <c r="H151" s="44"/>
      <c r="I151" s="11"/>
      <c r="J151" s="15"/>
      <c r="K151" s="16"/>
      <c r="L151" s="16"/>
      <c r="M151" s="15"/>
      <c r="N151" s="15"/>
      <c r="O151" s="17"/>
    </row>
    <row r="152" spans="1:15" ht="15" x14ac:dyDescent="0.35">
      <c r="A152" s="99"/>
      <c r="B152" s="10">
        <v>2</v>
      </c>
      <c r="C152" s="11"/>
      <c r="D152" s="80"/>
      <c r="E152" s="18">
        <v>10.43</v>
      </c>
      <c r="F152" s="13" t="s">
        <v>24</v>
      </c>
      <c r="G152" s="11">
        <v>59</v>
      </c>
      <c r="H152" s="44">
        <v>0.42</v>
      </c>
      <c r="I152" s="11">
        <v>40000</v>
      </c>
      <c r="J152" s="15">
        <f>I152*H152</f>
        <v>16800</v>
      </c>
      <c r="K152" s="16">
        <f>E152-(H152+H153)/5</f>
        <v>10.183999999999999</v>
      </c>
      <c r="L152" s="16">
        <f>K152*80.5%</f>
        <v>8.1981199999999994</v>
      </c>
      <c r="M152" s="15">
        <f>L152*14432</f>
        <v>118315.26783999999</v>
      </c>
      <c r="N152" s="15">
        <f>K152*350</f>
        <v>3564.3999999999996</v>
      </c>
      <c r="O152" s="17">
        <f>N152+M152+J152+J153</f>
        <v>175129.66783999998</v>
      </c>
    </row>
    <row r="153" spans="1:15" ht="15" x14ac:dyDescent="0.35">
      <c r="A153" s="99"/>
      <c r="B153" s="10" t="s">
        <v>39</v>
      </c>
      <c r="C153" s="11"/>
      <c r="D153" s="80"/>
      <c r="E153" s="12"/>
      <c r="F153" s="13" t="s">
        <v>86</v>
      </c>
      <c r="G153" s="11">
        <v>16</v>
      </c>
      <c r="H153" s="44">
        <v>0.81</v>
      </c>
      <c r="I153" s="11">
        <v>45000</v>
      </c>
      <c r="J153" s="15">
        <f>I153*H153</f>
        <v>36450</v>
      </c>
      <c r="K153" s="16"/>
      <c r="L153" s="16"/>
      <c r="M153" s="15"/>
      <c r="N153" s="15"/>
      <c r="O153" s="17"/>
    </row>
    <row r="154" spans="1:15" ht="15" x14ac:dyDescent="0.35">
      <c r="A154" s="99"/>
      <c r="B154" s="10"/>
      <c r="C154" s="11"/>
      <c r="D154" s="80"/>
      <c r="E154" s="12"/>
      <c r="F154" s="13"/>
      <c r="G154" s="11"/>
      <c r="H154" s="44"/>
      <c r="I154" s="11"/>
      <c r="J154" s="15"/>
      <c r="K154" s="16"/>
      <c r="L154" s="16"/>
      <c r="M154" s="15"/>
      <c r="N154" s="15"/>
      <c r="O154" s="17"/>
    </row>
    <row r="155" spans="1:15" ht="15" x14ac:dyDescent="0.35">
      <c r="A155" s="99"/>
      <c r="B155" s="10"/>
      <c r="C155" s="11"/>
      <c r="D155" s="80"/>
      <c r="E155" s="12"/>
      <c r="F155" s="13"/>
      <c r="G155" s="11"/>
      <c r="H155" s="14"/>
      <c r="I155" s="11"/>
      <c r="J155" s="15"/>
      <c r="K155" s="16"/>
      <c r="L155" s="16"/>
      <c r="M155" s="15"/>
      <c r="N155" s="15"/>
      <c r="O155" s="17"/>
    </row>
    <row r="156" spans="1:15" ht="15" x14ac:dyDescent="0.35">
      <c r="A156" s="99"/>
      <c r="B156" s="10">
        <v>3</v>
      </c>
      <c r="C156" s="11"/>
      <c r="D156" s="80"/>
      <c r="E156" s="18">
        <v>7.99</v>
      </c>
      <c r="F156" s="13" t="s">
        <v>24</v>
      </c>
      <c r="G156" s="11">
        <v>83</v>
      </c>
      <c r="H156" s="44">
        <v>1.01</v>
      </c>
      <c r="I156" s="11">
        <v>40000</v>
      </c>
      <c r="J156" s="15">
        <f>I156*H156</f>
        <v>40400</v>
      </c>
      <c r="K156" s="16">
        <f>E156-(H156+H157)/5</f>
        <v>7.7140000000000004</v>
      </c>
      <c r="L156" s="16">
        <f>K156*80.5%</f>
        <v>6.2097700000000007</v>
      </c>
      <c r="M156" s="15">
        <f>L156*14432</f>
        <v>89619.400640000007</v>
      </c>
      <c r="N156" s="15">
        <f>K156*350</f>
        <v>2699.9</v>
      </c>
      <c r="O156" s="17">
        <f>N156+M156+J156+J157</f>
        <v>151219.30064</v>
      </c>
    </row>
    <row r="157" spans="1:15" ht="15" x14ac:dyDescent="0.35">
      <c r="A157" s="99"/>
      <c r="B157" s="10" t="s">
        <v>39</v>
      </c>
      <c r="C157" s="11"/>
      <c r="D157" s="80"/>
      <c r="E157" s="12"/>
      <c r="F157" s="13" t="s">
        <v>24</v>
      </c>
      <c r="G157" s="11">
        <v>4</v>
      </c>
      <c r="H157" s="44">
        <v>0.37</v>
      </c>
      <c r="I157" s="11">
        <v>50000</v>
      </c>
      <c r="J157" s="15">
        <f>I157*H157</f>
        <v>18500</v>
      </c>
      <c r="K157" s="16"/>
      <c r="L157" s="16"/>
      <c r="M157" s="15"/>
      <c r="N157" s="15"/>
      <c r="O157" s="17"/>
    </row>
    <row r="158" spans="1:15" ht="15" x14ac:dyDescent="0.35">
      <c r="A158" s="99"/>
      <c r="B158" s="10"/>
      <c r="C158" s="11"/>
      <c r="D158" s="80"/>
      <c r="E158" s="12"/>
      <c r="F158" s="13"/>
      <c r="G158" s="11"/>
      <c r="H158" s="44"/>
      <c r="I158" s="11"/>
      <c r="J158" s="15"/>
      <c r="K158" s="16"/>
      <c r="L158" s="16"/>
      <c r="M158" s="15"/>
      <c r="N158" s="15"/>
      <c r="O158" s="17"/>
    </row>
    <row r="159" spans="1:15" ht="15" x14ac:dyDescent="0.35">
      <c r="A159" s="99"/>
      <c r="B159" s="10">
        <v>4</v>
      </c>
      <c r="C159" s="11"/>
      <c r="D159" s="80"/>
      <c r="E159" s="18">
        <v>1.25</v>
      </c>
      <c r="F159" s="13"/>
      <c r="G159" s="11"/>
      <c r="H159" s="44"/>
      <c r="I159" s="11"/>
      <c r="J159" s="15"/>
      <c r="K159" s="16">
        <f>E159-(H159+H160)/5</f>
        <v>1.25</v>
      </c>
      <c r="L159" s="16">
        <f>K159*80.5%</f>
        <v>1.0062500000000001</v>
      </c>
      <c r="M159" s="15">
        <f>L159*14432</f>
        <v>14522.2</v>
      </c>
      <c r="N159" s="15">
        <f>K159*350</f>
        <v>437.5</v>
      </c>
      <c r="O159" s="17">
        <f>N159+M159+J159</f>
        <v>14959.7</v>
      </c>
    </row>
    <row r="160" spans="1:15" ht="15" x14ac:dyDescent="0.35">
      <c r="A160" s="99"/>
      <c r="B160" s="10" t="s">
        <v>39</v>
      </c>
      <c r="C160" s="3"/>
      <c r="D160" s="82"/>
      <c r="E160" s="59"/>
      <c r="F160" s="54"/>
      <c r="G160" s="3"/>
      <c r="H160" s="93"/>
      <c r="I160" s="3"/>
      <c r="J160" s="56"/>
      <c r="K160" s="57"/>
      <c r="L160" s="57"/>
      <c r="M160" s="56"/>
      <c r="N160" s="56"/>
      <c r="O160" s="58"/>
    </row>
    <row r="161" spans="1:17" ht="15" x14ac:dyDescent="0.35">
      <c r="A161" s="99"/>
      <c r="B161" s="55"/>
      <c r="C161" s="3"/>
      <c r="D161" s="82"/>
      <c r="E161" s="59"/>
      <c r="F161" s="54"/>
      <c r="G161" s="3"/>
      <c r="H161" s="93"/>
      <c r="I161" s="3"/>
      <c r="J161" s="56"/>
      <c r="K161" s="57"/>
      <c r="L161" s="57"/>
      <c r="M161" s="56"/>
      <c r="N161" s="56"/>
      <c r="O161" s="58"/>
    </row>
    <row r="162" spans="1:17" ht="15" x14ac:dyDescent="0.35">
      <c r="A162" s="99"/>
      <c r="B162" s="55"/>
      <c r="C162" s="3"/>
      <c r="D162" s="82"/>
      <c r="E162" s="59"/>
      <c r="F162" s="54"/>
      <c r="G162" s="3"/>
      <c r="H162" s="93"/>
      <c r="I162" s="3"/>
      <c r="J162" s="56"/>
      <c r="K162" s="57"/>
      <c r="L162" s="57"/>
      <c r="M162" s="56"/>
      <c r="N162" s="56"/>
      <c r="O162" s="58"/>
    </row>
    <row r="163" spans="1:17" ht="16" thickBot="1" x14ac:dyDescent="0.4">
      <c r="A163" s="99"/>
      <c r="B163" s="19"/>
      <c r="C163" s="20"/>
      <c r="D163" s="20"/>
      <c r="E163" s="21"/>
      <c r="F163" s="22"/>
      <c r="G163" s="22"/>
      <c r="H163" s="23"/>
      <c r="I163" s="20"/>
      <c r="J163" s="24"/>
      <c r="K163" s="21"/>
      <c r="L163" s="21"/>
      <c r="M163" s="21"/>
      <c r="N163" s="25"/>
      <c r="O163" s="26"/>
    </row>
    <row r="164" spans="1:17" ht="16" thickBot="1" x14ac:dyDescent="0.4">
      <c r="A164" s="99"/>
      <c r="B164" s="27"/>
      <c r="C164" s="28"/>
      <c r="D164" s="28"/>
      <c r="E164" s="29">
        <f>SUM(E148:E163)</f>
        <v>23.36</v>
      </c>
      <c r="F164" s="28"/>
      <c r="G164" s="28">
        <f>SUM(G148:G163)</f>
        <v>242</v>
      </c>
      <c r="H164" s="29">
        <f>SUM(H148:H163)</f>
        <v>3.0300000000000002</v>
      </c>
      <c r="I164" s="28"/>
      <c r="J164" s="30">
        <f t="shared" ref="J164:O164" si="19">SUM(J148:J163)</f>
        <v>128950</v>
      </c>
      <c r="K164" s="29">
        <f t="shared" si="19"/>
        <v>22.753999999999998</v>
      </c>
      <c r="L164" s="29">
        <f t="shared" si="19"/>
        <v>18.316970000000001</v>
      </c>
      <c r="M164" s="30">
        <f t="shared" si="19"/>
        <v>264350.51104000001</v>
      </c>
      <c r="N164" s="31">
        <f t="shared" si="19"/>
        <v>7963.9</v>
      </c>
      <c r="O164" s="32">
        <f t="shared" si="19"/>
        <v>401264.41103999998</v>
      </c>
      <c r="P164" t="s">
        <v>26</v>
      </c>
      <c r="Q164" t="s">
        <v>106</v>
      </c>
    </row>
    <row r="165" spans="1:17" ht="15" thickBot="1" x14ac:dyDescent="0.4"/>
    <row r="166" spans="1:17" x14ac:dyDescent="0.35">
      <c r="A166" s="99">
        <v>11</v>
      </c>
      <c r="B166" s="110" t="s">
        <v>0</v>
      </c>
      <c r="C166" s="102" t="s">
        <v>1</v>
      </c>
      <c r="D166" s="102" t="s">
        <v>2</v>
      </c>
      <c r="E166" s="108" t="s">
        <v>3</v>
      </c>
      <c r="F166" s="102" t="s">
        <v>4</v>
      </c>
      <c r="G166" s="102"/>
      <c r="H166" s="102"/>
      <c r="I166" s="102"/>
      <c r="J166" s="102"/>
      <c r="K166" s="102" t="s">
        <v>5</v>
      </c>
      <c r="L166" s="104" t="s">
        <v>6</v>
      </c>
      <c r="M166" s="106" t="s">
        <v>7</v>
      </c>
      <c r="N166" s="108" t="s">
        <v>8</v>
      </c>
      <c r="O166" s="100" t="s">
        <v>9</v>
      </c>
    </row>
    <row r="167" spans="1:17" ht="15" thickBot="1" x14ac:dyDescent="0.4">
      <c r="A167" s="99"/>
      <c r="B167" s="111"/>
      <c r="C167" s="103"/>
      <c r="D167" s="103"/>
      <c r="E167" s="109"/>
      <c r="F167" s="3" t="s">
        <v>10</v>
      </c>
      <c r="G167" s="3" t="s">
        <v>11</v>
      </c>
      <c r="H167" s="3" t="s">
        <v>12</v>
      </c>
      <c r="I167" s="3" t="s">
        <v>13</v>
      </c>
      <c r="J167" s="3" t="s">
        <v>14</v>
      </c>
      <c r="K167" s="103"/>
      <c r="L167" s="105"/>
      <c r="M167" s="107"/>
      <c r="N167" s="109"/>
      <c r="O167" s="101"/>
    </row>
    <row r="168" spans="1:17" ht="15" x14ac:dyDescent="0.35">
      <c r="A168" s="99"/>
      <c r="B168" s="1">
        <v>1</v>
      </c>
      <c r="C168" s="2" t="s">
        <v>96</v>
      </c>
      <c r="D168" s="88"/>
      <c r="E168" s="4">
        <v>3.52</v>
      </c>
      <c r="F168" s="5" t="s">
        <v>95</v>
      </c>
      <c r="G168" s="2">
        <v>1</v>
      </c>
      <c r="H168" s="37">
        <v>0.9</v>
      </c>
      <c r="I168" s="2">
        <v>217811</v>
      </c>
      <c r="J168" s="7">
        <f>I168*H168</f>
        <v>196029.9</v>
      </c>
      <c r="K168" s="8">
        <f>E168-(H168+H169)/5</f>
        <v>3.34</v>
      </c>
      <c r="L168" s="8">
        <f>K168*80.5%</f>
        <v>2.6886999999999999</v>
      </c>
      <c r="M168" s="7">
        <f>L168*14432</f>
        <v>38803.318399999996</v>
      </c>
      <c r="N168" s="7">
        <f>K168*350</f>
        <v>1169</v>
      </c>
      <c r="O168" s="9">
        <f>N168+M168+J168+J169</f>
        <v>236002.21839999998</v>
      </c>
    </row>
    <row r="169" spans="1:17" ht="15" x14ac:dyDescent="0.35">
      <c r="A169" s="99"/>
      <c r="B169" s="10" t="s">
        <v>63</v>
      </c>
      <c r="C169" s="11"/>
      <c r="D169" s="80"/>
      <c r="E169" s="12"/>
      <c r="F169" s="13"/>
      <c r="G169" s="11"/>
      <c r="H169" s="44"/>
      <c r="I169" s="11"/>
      <c r="J169" s="15"/>
      <c r="K169" s="16"/>
      <c r="L169" s="16"/>
      <c r="M169" s="15"/>
      <c r="N169" s="15"/>
      <c r="O169" s="17"/>
    </row>
    <row r="170" spans="1:17" ht="15" x14ac:dyDescent="0.35">
      <c r="A170" s="99"/>
      <c r="B170" s="10"/>
      <c r="C170" s="11"/>
      <c r="D170" s="80"/>
      <c r="E170" s="12"/>
      <c r="F170" s="13"/>
      <c r="G170" s="11"/>
      <c r="H170" s="44"/>
      <c r="I170" s="11"/>
      <c r="J170" s="15"/>
      <c r="K170" s="16"/>
      <c r="L170" s="16"/>
      <c r="M170" s="15"/>
      <c r="N170" s="15"/>
      <c r="O170" s="17"/>
    </row>
    <row r="171" spans="1:17" ht="16" thickBot="1" x14ac:dyDescent="0.4">
      <c r="A171" s="99"/>
      <c r="B171" s="19"/>
      <c r="C171" s="20"/>
      <c r="D171" s="20"/>
      <c r="E171" s="21"/>
      <c r="F171" s="22"/>
      <c r="G171" s="22"/>
      <c r="H171" s="23"/>
      <c r="I171" s="20"/>
      <c r="J171" s="24"/>
      <c r="K171" s="21"/>
      <c r="L171" s="21"/>
      <c r="M171" s="21"/>
      <c r="N171" s="25"/>
      <c r="O171" s="26"/>
    </row>
    <row r="172" spans="1:17" ht="16" thickBot="1" x14ac:dyDescent="0.4">
      <c r="A172" s="99"/>
      <c r="B172" s="27"/>
      <c r="C172" s="28"/>
      <c r="D172" s="28"/>
      <c r="E172" s="29">
        <f>SUM(E168:E171)</f>
        <v>3.52</v>
      </c>
      <c r="F172" s="28"/>
      <c r="G172" s="28">
        <f>SUM(G168:G171)</f>
        <v>1</v>
      </c>
      <c r="H172" s="29">
        <f>SUM(H168:H171)</f>
        <v>0.9</v>
      </c>
      <c r="I172" s="28"/>
      <c r="J172" s="30">
        <f t="shared" ref="J172:O172" si="20">SUM(J168:J171)</f>
        <v>196029.9</v>
      </c>
      <c r="K172" s="29">
        <f t="shared" si="20"/>
        <v>3.34</v>
      </c>
      <c r="L172" s="29">
        <f t="shared" si="20"/>
        <v>2.6886999999999999</v>
      </c>
      <c r="M172" s="30">
        <f t="shared" si="20"/>
        <v>38803.318399999996</v>
      </c>
      <c r="N172" s="31">
        <f t="shared" si="20"/>
        <v>1169</v>
      </c>
      <c r="O172" s="32">
        <f t="shared" si="20"/>
        <v>236002.21839999998</v>
      </c>
      <c r="P172" t="s">
        <v>26</v>
      </c>
      <c r="Q172" t="s">
        <v>106</v>
      </c>
    </row>
    <row r="173" spans="1:17" ht="15" thickBot="1" x14ac:dyDescent="0.4"/>
    <row r="174" spans="1:17" x14ac:dyDescent="0.35">
      <c r="A174" s="99">
        <v>12</v>
      </c>
      <c r="B174" s="110" t="s">
        <v>0</v>
      </c>
      <c r="C174" s="102" t="s">
        <v>1</v>
      </c>
      <c r="D174" s="102" t="s">
        <v>2</v>
      </c>
      <c r="E174" s="108" t="s">
        <v>3</v>
      </c>
      <c r="F174" s="102" t="s">
        <v>4</v>
      </c>
      <c r="G174" s="102"/>
      <c r="H174" s="102"/>
      <c r="I174" s="102"/>
      <c r="J174" s="102"/>
      <c r="K174" s="102" t="s">
        <v>5</v>
      </c>
      <c r="L174" s="104" t="s">
        <v>6</v>
      </c>
      <c r="M174" s="106" t="s">
        <v>7</v>
      </c>
      <c r="N174" s="108" t="s">
        <v>8</v>
      </c>
      <c r="O174" s="100" t="s">
        <v>9</v>
      </c>
    </row>
    <row r="175" spans="1:17" ht="15" thickBot="1" x14ac:dyDescent="0.4">
      <c r="A175" s="99"/>
      <c r="B175" s="111"/>
      <c r="C175" s="103"/>
      <c r="D175" s="103"/>
      <c r="E175" s="109"/>
      <c r="F175" s="3" t="s">
        <v>10</v>
      </c>
      <c r="G175" s="3" t="s">
        <v>11</v>
      </c>
      <c r="H175" s="3" t="s">
        <v>12</v>
      </c>
      <c r="I175" s="3" t="s">
        <v>13</v>
      </c>
      <c r="J175" s="3" t="s">
        <v>14</v>
      </c>
      <c r="K175" s="103"/>
      <c r="L175" s="105"/>
      <c r="M175" s="107"/>
      <c r="N175" s="109"/>
      <c r="O175" s="101"/>
    </row>
    <row r="176" spans="1:17" ht="15" x14ac:dyDescent="0.35">
      <c r="A176" s="99"/>
      <c r="B176" s="1">
        <v>1</v>
      </c>
      <c r="C176" s="2" t="s">
        <v>96</v>
      </c>
      <c r="D176" s="88" t="s">
        <v>107</v>
      </c>
      <c r="E176" s="4">
        <v>35.35</v>
      </c>
      <c r="F176" s="5" t="s">
        <v>24</v>
      </c>
      <c r="G176" s="2">
        <v>890</v>
      </c>
      <c r="H176" s="37">
        <v>2.97</v>
      </c>
      <c r="I176" s="2">
        <v>40000</v>
      </c>
      <c r="J176" s="7">
        <f>I176*H176</f>
        <v>118800.00000000001</v>
      </c>
      <c r="K176" s="8">
        <f>E176-(H176+H177+H178+H179)/5</f>
        <v>31.28</v>
      </c>
      <c r="L176" s="8">
        <f>K176*80.5%</f>
        <v>25.180400000000002</v>
      </c>
      <c r="M176" s="7">
        <f>L176*14432</f>
        <v>363403.53280000004</v>
      </c>
      <c r="N176" s="7">
        <f>K176*350</f>
        <v>10948</v>
      </c>
      <c r="O176" s="9">
        <f>N176+M176+J176+J177+J178+J179</f>
        <v>512945.53280000004</v>
      </c>
    </row>
    <row r="177" spans="1:15" ht="15" x14ac:dyDescent="0.35">
      <c r="A177" s="99"/>
      <c r="B177" s="10" t="s">
        <v>63</v>
      </c>
      <c r="C177" s="11"/>
      <c r="D177" s="80"/>
      <c r="E177" s="12"/>
      <c r="F177" s="13" t="s">
        <v>24</v>
      </c>
      <c r="G177" s="11">
        <v>40</v>
      </c>
      <c r="H177" s="44">
        <v>0.41</v>
      </c>
      <c r="I177" s="11">
        <v>40000</v>
      </c>
      <c r="J177" s="15">
        <f>I177*H177</f>
        <v>16400</v>
      </c>
      <c r="K177" s="16"/>
      <c r="L177" s="16"/>
      <c r="M177" s="15"/>
      <c r="N177" s="15"/>
      <c r="O177" s="17"/>
    </row>
    <row r="178" spans="1:15" ht="15" x14ac:dyDescent="0.35">
      <c r="A178" s="99"/>
      <c r="B178" s="10"/>
      <c r="C178" s="11"/>
      <c r="D178" s="80"/>
      <c r="E178" s="12"/>
      <c r="F178" s="13" t="s">
        <v>23</v>
      </c>
      <c r="G178" s="11">
        <v>4</v>
      </c>
      <c r="H178" s="44">
        <v>8.14</v>
      </c>
      <c r="I178" s="11">
        <v>200</v>
      </c>
      <c r="J178" s="15">
        <f t="shared" ref="J178:J179" si="21">I178*H178</f>
        <v>1628</v>
      </c>
      <c r="K178" s="16"/>
      <c r="L178" s="16"/>
      <c r="M178" s="15"/>
      <c r="N178" s="15"/>
      <c r="O178" s="17"/>
    </row>
    <row r="179" spans="1:15" ht="15" x14ac:dyDescent="0.35">
      <c r="A179" s="99"/>
      <c r="B179" s="10"/>
      <c r="C179" s="11"/>
      <c r="D179" s="80"/>
      <c r="E179" s="12"/>
      <c r="F179" s="13" t="s">
        <v>54</v>
      </c>
      <c r="G179" s="11">
        <v>4</v>
      </c>
      <c r="H179" s="44">
        <v>8.83</v>
      </c>
      <c r="I179" s="11">
        <v>200</v>
      </c>
      <c r="J179" s="15">
        <f t="shared" si="21"/>
        <v>1766</v>
      </c>
      <c r="K179" s="16"/>
      <c r="L179" s="16"/>
      <c r="M179" s="15"/>
      <c r="N179" s="15"/>
      <c r="O179" s="17"/>
    </row>
    <row r="180" spans="1:15" ht="15" x14ac:dyDescent="0.35">
      <c r="A180" s="99"/>
      <c r="B180" s="10"/>
      <c r="C180" s="11"/>
      <c r="D180" s="80"/>
      <c r="E180" s="12"/>
      <c r="F180" s="13"/>
      <c r="G180" s="11"/>
      <c r="H180" s="44"/>
      <c r="I180" s="11"/>
      <c r="J180" s="15"/>
      <c r="K180" s="16"/>
      <c r="L180" s="16"/>
      <c r="M180" s="15"/>
      <c r="N180" s="15"/>
      <c r="O180" s="17"/>
    </row>
    <row r="181" spans="1:15" ht="15" x14ac:dyDescent="0.35">
      <c r="A181" s="99"/>
      <c r="B181" s="10">
        <v>2</v>
      </c>
      <c r="C181" s="11"/>
      <c r="D181" s="80" t="s">
        <v>108</v>
      </c>
      <c r="E181" s="18">
        <v>13.55</v>
      </c>
      <c r="F181" s="13" t="s">
        <v>24</v>
      </c>
      <c r="G181" s="11">
        <v>278</v>
      </c>
      <c r="H181" s="44">
        <v>0.94</v>
      </c>
      <c r="I181" s="11">
        <v>40000</v>
      </c>
      <c r="J181" s="15">
        <f>I181*H181</f>
        <v>37600</v>
      </c>
      <c r="K181" s="16">
        <f>E181-(H181+H182+H183+H184)/5</f>
        <v>11.832000000000001</v>
      </c>
      <c r="L181" s="16">
        <f>K181*80.5%</f>
        <v>9.5247600000000006</v>
      </c>
      <c r="M181" s="15">
        <f>L181*14432</f>
        <v>137461.33632</v>
      </c>
      <c r="N181" s="15">
        <f>K181*350</f>
        <v>4141.2</v>
      </c>
      <c r="O181" s="17">
        <f>N181+M181+J181+J182+J183+J184</f>
        <v>185508.53632000001</v>
      </c>
    </row>
    <row r="182" spans="1:15" ht="15" x14ac:dyDescent="0.35">
      <c r="A182" s="99"/>
      <c r="B182" s="10" t="s">
        <v>63</v>
      </c>
      <c r="C182" s="11"/>
      <c r="D182" s="80"/>
      <c r="E182" s="12"/>
      <c r="F182" s="13" t="s">
        <v>24</v>
      </c>
      <c r="G182" s="11">
        <v>11</v>
      </c>
      <c r="H182" s="44">
        <v>0.12</v>
      </c>
      <c r="I182" s="11">
        <v>40000</v>
      </c>
      <c r="J182" s="15">
        <f>I182*H182</f>
        <v>4800</v>
      </c>
      <c r="K182" s="16"/>
      <c r="L182" s="16"/>
      <c r="M182" s="15"/>
      <c r="N182" s="15"/>
      <c r="O182" s="17"/>
    </row>
    <row r="183" spans="1:15" ht="15" x14ac:dyDescent="0.35">
      <c r="A183" s="99"/>
      <c r="B183" s="10"/>
      <c r="C183" s="11"/>
      <c r="D183" s="80"/>
      <c r="E183" s="12"/>
      <c r="F183" s="13" t="s">
        <v>23</v>
      </c>
      <c r="G183" s="11">
        <v>6</v>
      </c>
      <c r="H183" s="44">
        <v>4.53</v>
      </c>
      <c r="I183" s="11">
        <v>200</v>
      </c>
      <c r="J183" s="15">
        <f t="shared" ref="J183:J184" si="22">I183*H183</f>
        <v>906</v>
      </c>
      <c r="K183" s="16"/>
      <c r="L183" s="16"/>
      <c r="M183" s="15"/>
      <c r="N183" s="15"/>
      <c r="O183" s="17"/>
    </row>
    <row r="184" spans="1:15" ht="15" x14ac:dyDescent="0.35">
      <c r="A184" s="99"/>
      <c r="B184" s="10"/>
      <c r="C184" s="11"/>
      <c r="D184" s="80"/>
      <c r="E184" s="12"/>
      <c r="F184" s="13" t="s">
        <v>54</v>
      </c>
      <c r="G184" s="11">
        <v>1</v>
      </c>
      <c r="H184" s="44">
        <v>3</v>
      </c>
      <c r="I184" s="11">
        <v>200</v>
      </c>
      <c r="J184" s="15">
        <f t="shared" si="22"/>
        <v>600</v>
      </c>
      <c r="K184" s="16"/>
      <c r="L184" s="16"/>
      <c r="M184" s="15"/>
      <c r="N184" s="15"/>
      <c r="O184" s="17"/>
    </row>
    <row r="185" spans="1:15" ht="15" x14ac:dyDescent="0.35">
      <c r="A185" s="99"/>
      <c r="B185" s="10"/>
      <c r="C185" s="11"/>
      <c r="D185" s="80"/>
      <c r="E185" s="12"/>
      <c r="F185" s="13"/>
      <c r="G185" s="11"/>
      <c r="H185" s="44"/>
      <c r="I185" s="11"/>
      <c r="J185" s="15"/>
      <c r="K185" s="16"/>
      <c r="L185" s="16"/>
      <c r="M185" s="15"/>
      <c r="N185" s="15"/>
      <c r="O185" s="17"/>
    </row>
    <row r="186" spans="1:15" ht="15" x14ac:dyDescent="0.35">
      <c r="A186" s="99"/>
      <c r="B186" s="10">
        <v>3</v>
      </c>
      <c r="C186" s="11"/>
      <c r="D186" s="80" t="s">
        <v>84</v>
      </c>
      <c r="E186" s="18">
        <v>152.66999999999999</v>
      </c>
      <c r="F186" s="13" t="s">
        <v>24</v>
      </c>
      <c r="G186" s="11">
        <v>4070</v>
      </c>
      <c r="H186" s="44">
        <v>12.45</v>
      </c>
      <c r="I186" s="11">
        <v>40000</v>
      </c>
      <c r="J186" s="15">
        <f>I186*H186</f>
        <v>498000</v>
      </c>
      <c r="K186" s="16">
        <f>E186-(H186+H187+H188+H189)/5</f>
        <v>140.85399999999998</v>
      </c>
      <c r="L186" s="16">
        <f>K186*80.5%</f>
        <v>113.38746999999999</v>
      </c>
      <c r="M186" s="15">
        <f>L186*14432</f>
        <v>1636407.96704</v>
      </c>
      <c r="N186" s="15">
        <f>K186*350</f>
        <v>49298.899999999994</v>
      </c>
      <c r="O186" s="17">
        <f>N186+M186+J186+J187+J188+J189</f>
        <v>2255518.8670399999</v>
      </c>
    </row>
    <row r="187" spans="1:15" ht="15" x14ac:dyDescent="0.35">
      <c r="A187" s="99"/>
      <c r="B187" s="10" t="s">
        <v>63</v>
      </c>
      <c r="C187" s="11"/>
      <c r="D187" s="80"/>
      <c r="E187" s="12"/>
      <c r="F187" s="13" t="s">
        <v>24</v>
      </c>
      <c r="G187" s="11">
        <v>142</v>
      </c>
      <c r="H187" s="44">
        <v>1.57</v>
      </c>
      <c r="I187" s="11">
        <v>40000</v>
      </c>
      <c r="J187" s="15">
        <f>I187*H187</f>
        <v>62800</v>
      </c>
      <c r="K187" s="16"/>
      <c r="L187" s="16"/>
      <c r="M187" s="15"/>
      <c r="N187" s="15"/>
      <c r="O187" s="17"/>
    </row>
    <row r="188" spans="1:15" ht="15" x14ac:dyDescent="0.35">
      <c r="A188" s="99"/>
      <c r="B188" s="10"/>
      <c r="C188" s="11"/>
      <c r="D188" s="80"/>
      <c r="E188" s="12"/>
      <c r="F188" s="13" t="s">
        <v>23</v>
      </c>
      <c r="G188" s="11">
        <f>20+2</f>
        <v>22</v>
      </c>
      <c r="H188" s="44">
        <f>27.68+0.73</f>
        <v>28.41</v>
      </c>
      <c r="I188" s="11">
        <v>200</v>
      </c>
      <c r="J188" s="15">
        <f t="shared" ref="J188:J189" si="23">I188*H188</f>
        <v>5682</v>
      </c>
      <c r="K188" s="16"/>
      <c r="L188" s="16"/>
      <c r="M188" s="15"/>
      <c r="N188" s="15"/>
      <c r="O188" s="17"/>
    </row>
    <row r="189" spans="1:15" ht="15" x14ac:dyDescent="0.35">
      <c r="A189" s="99"/>
      <c r="B189" s="10"/>
      <c r="C189" s="11"/>
      <c r="D189" s="80"/>
      <c r="E189" s="12"/>
      <c r="F189" s="13" t="s">
        <v>54</v>
      </c>
      <c r="G189" s="11">
        <v>2</v>
      </c>
      <c r="H189" s="44">
        <v>16.649999999999999</v>
      </c>
      <c r="I189" s="11">
        <v>200</v>
      </c>
      <c r="J189" s="15">
        <f t="shared" si="23"/>
        <v>3329.9999999999995</v>
      </c>
      <c r="K189" s="16"/>
      <c r="L189" s="16"/>
      <c r="M189" s="15"/>
      <c r="N189" s="15"/>
      <c r="O189" s="17"/>
    </row>
    <row r="190" spans="1:15" ht="15" x14ac:dyDescent="0.35">
      <c r="A190" s="99"/>
      <c r="B190" s="10"/>
      <c r="C190" s="11"/>
      <c r="D190" s="80"/>
      <c r="E190" s="12"/>
      <c r="F190" s="13"/>
      <c r="G190" s="11"/>
      <c r="H190" s="44"/>
      <c r="I190" s="11"/>
      <c r="J190" s="15"/>
      <c r="K190" s="16"/>
      <c r="L190" s="16"/>
      <c r="M190" s="15"/>
      <c r="N190" s="15"/>
      <c r="O190" s="17"/>
    </row>
    <row r="191" spans="1:15" ht="15" x14ac:dyDescent="0.35">
      <c r="A191" s="99"/>
      <c r="B191" s="10"/>
      <c r="C191" s="11"/>
      <c r="D191" s="80"/>
      <c r="E191" s="12"/>
      <c r="F191" s="13"/>
      <c r="G191" s="11"/>
      <c r="H191" s="44"/>
      <c r="I191" s="11"/>
      <c r="J191" s="15"/>
      <c r="K191" s="16"/>
      <c r="L191" s="16"/>
      <c r="M191" s="15"/>
      <c r="N191" s="15"/>
      <c r="O191" s="17"/>
    </row>
    <row r="192" spans="1:15" ht="15" x14ac:dyDescent="0.35">
      <c r="A192" s="99"/>
      <c r="B192" s="10"/>
      <c r="C192" s="11"/>
      <c r="D192" s="80"/>
      <c r="E192" s="12"/>
      <c r="F192" s="13"/>
      <c r="G192" s="11"/>
      <c r="H192" s="44"/>
      <c r="I192" s="11"/>
      <c r="J192" s="15"/>
      <c r="K192" s="16"/>
      <c r="L192" s="16"/>
      <c r="M192" s="15"/>
      <c r="N192" s="15"/>
      <c r="O192" s="17"/>
    </row>
    <row r="193" spans="1:15" ht="15" x14ac:dyDescent="0.35">
      <c r="A193" s="99"/>
      <c r="B193" s="10"/>
      <c r="C193" s="11"/>
      <c r="D193" s="80"/>
      <c r="E193" s="12"/>
      <c r="F193" s="13"/>
      <c r="G193" s="11"/>
      <c r="H193" s="44"/>
      <c r="I193" s="11"/>
      <c r="J193" s="15"/>
      <c r="K193" s="16"/>
      <c r="L193" s="16"/>
      <c r="M193" s="15"/>
      <c r="N193" s="15"/>
      <c r="O193" s="17"/>
    </row>
    <row r="194" spans="1:15" ht="15" x14ac:dyDescent="0.35">
      <c r="A194" s="99"/>
      <c r="B194" s="10"/>
      <c r="C194" s="11"/>
      <c r="D194" s="80"/>
      <c r="E194" s="12"/>
      <c r="F194" s="13"/>
      <c r="G194" s="11"/>
      <c r="H194" s="44"/>
      <c r="I194" s="11"/>
      <c r="J194" s="15"/>
      <c r="K194" s="16"/>
      <c r="L194" s="16"/>
      <c r="M194" s="15"/>
      <c r="N194" s="15"/>
      <c r="O194" s="17"/>
    </row>
    <row r="195" spans="1:15" ht="16" thickBot="1" x14ac:dyDescent="0.4">
      <c r="A195" s="99"/>
      <c r="B195" s="19"/>
      <c r="C195" s="20"/>
      <c r="D195" s="20"/>
      <c r="E195" s="21"/>
      <c r="F195" s="22"/>
      <c r="G195" s="22"/>
      <c r="H195" s="23"/>
      <c r="I195" s="20"/>
      <c r="J195" s="24"/>
      <c r="K195" s="21"/>
      <c r="L195" s="21"/>
      <c r="M195" s="21"/>
      <c r="N195" s="25"/>
      <c r="O195" s="26"/>
    </row>
    <row r="196" spans="1:15" ht="16" thickBot="1" x14ac:dyDescent="0.4">
      <c r="A196" s="99"/>
      <c r="B196" s="27"/>
      <c r="C196" s="28"/>
      <c r="D196" s="28"/>
      <c r="E196" s="29">
        <f>SUM(E176:E195)</f>
        <v>201.57</v>
      </c>
      <c r="F196" s="28"/>
      <c r="G196" s="28">
        <f>SUM(G176:G195)</f>
        <v>5470</v>
      </c>
      <c r="H196" s="29">
        <f>SUM(H176:H195)</f>
        <v>88.02000000000001</v>
      </c>
      <c r="I196" s="28"/>
      <c r="J196" s="30">
        <f t="shared" ref="J196:O196" si="24">SUM(J176:J195)</f>
        <v>752312</v>
      </c>
      <c r="K196" s="29">
        <f t="shared" si="24"/>
        <v>183.96599999999998</v>
      </c>
      <c r="L196" s="29">
        <f t="shared" si="24"/>
        <v>148.09262999999999</v>
      </c>
      <c r="M196" s="30">
        <f t="shared" si="24"/>
        <v>2137272.8361599999</v>
      </c>
      <c r="N196" s="31">
        <f t="shared" si="24"/>
        <v>64388.099999999991</v>
      </c>
      <c r="O196" s="32">
        <f t="shared" si="24"/>
        <v>2953972.93616</v>
      </c>
    </row>
  </sheetData>
  <mergeCells count="132">
    <mergeCell ref="N166:N167"/>
    <mergeCell ref="O166:O167"/>
    <mergeCell ref="A166:A172"/>
    <mergeCell ref="B166:B167"/>
    <mergeCell ref="C166:C167"/>
    <mergeCell ref="D166:D167"/>
    <mergeCell ref="E166:E167"/>
    <mergeCell ref="F166:J166"/>
    <mergeCell ref="K166:K167"/>
    <mergeCell ref="L166:L167"/>
    <mergeCell ref="M166:M167"/>
    <mergeCell ref="A107:A114"/>
    <mergeCell ref="B107:B108"/>
    <mergeCell ref="C107:C108"/>
    <mergeCell ref="D107:D108"/>
    <mergeCell ref="E107:E108"/>
    <mergeCell ref="O107:O108"/>
    <mergeCell ref="F107:J107"/>
    <mergeCell ref="K107:K108"/>
    <mergeCell ref="L107:L108"/>
    <mergeCell ref="M107:M108"/>
    <mergeCell ref="N107:N108"/>
    <mergeCell ref="A92:A105"/>
    <mergeCell ref="B92:B93"/>
    <mergeCell ref="C92:C93"/>
    <mergeCell ref="D92:D93"/>
    <mergeCell ref="E92:E93"/>
    <mergeCell ref="O92:O93"/>
    <mergeCell ref="F92:J92"/>
    <mergeCell ref="K92:K93"/>
    <mergeCell ref="L92:L93"/>
    <mergeCell ref="M92:M93"/>
    <mergeCell ref="N92:N93"/>
    <mergeCell ref="A81:A90"/>
    <mergeCell ref="B81:B82"/>
    <mergeCell ref="C81:C82"/>
    <mergeCell ref="D81:D82"/>
    <mergeCell ref="E81:E82"/>
    <mergeCell ref="O81:O82"/>
    <mergeCell ref="F81:J81"/>
    <mergeCell ref="K81:K82"/>
    <mergeCell ref="L81:L82"/>
    <mergeCell ref="M81:M82"/>
    <mergeCell ref="N81:N82"/>
    <mergeCell ref="A65:A79"/>
    <mergeCell ref="B65:B66"/>
    <mergeCell ref="C65:C66"/>
    <mergeCell ref="D65:D66"/>
    <mergeCell ref="E65:E66"/>
    <mergeCell ref="O65:O66"/>
    <mergeCell ref="F65:J65"/>
    <mergeCell ref="K65:K66"/>
    <mergeCell ref="L65:L66"/>
    <mergeCell ref="M65:M66"/>
    <mergeCell ref="N65:N66"/>
    <mergeCell ref="A30:A45"/>
    <mergeCell ref="B30:B31"/>
    <mergeCell ref="C30:C31"/>
    <mergeCell ref="D30:D31"/>
    <mergeCell ref="E30:E31"/>
    <mergeCell ref="O30:O31"/>
    <mergeCell ref="F30:J30"/>
    <mergeCell ref="K30:K31"/>
    <mergeCell ref="L30:L31"/>
    <mergeCell ref="M30:M31"/>
    <mergeCell ref="N30:N31"/>
    <mergeCell ref="A16:A28"/>
    <mergeCell ref="B16:B17"/>
    <mergeCell ref="C16:C17"/>
    <mergeCell ref="D16:D17"/>
    <mergeCell ref="E16:E17"/>
    <mergeCell ref="O16:O17"/>
    <mergeCell ref="F16:J16"/>
    <mergeCell ref="K16:K17"/>
    <mergeCell ref="L16:L17"/>
    <mergeCell ref="M16:M17"/>
    <mergeCell ref="N16:N17"/>
    <mergeCell ref="O2:O3"/>
    <mergeCell ref="A2:A14"/>
    <mergeCell ref="B2:B3"/>
    <mergeCell ref="F2:J2"/>
    <mergeCell ref="K2:K3"/>
    <mergeCell ref="C2:C3"/>
    <mergeCell ref="D2:D3"/>
    <mergeCell ref="E2:E3"/>
    <mergeCell ref="L2:L3"/>
    <mergeCell ref="M2:M3"/>
    <mergeCell ref="N2:N3"/>
    <mergeCell ref="O47:O48"/>
    <mergeCell ref="F47:J47"/>
    <mergeCell ref="K47:K48"/>
    <mergeCell ref="L47:L48"/>
    <mergeCell ref="M47:M48"/>
    <mergeCell ref="N47:N48"/>
    <mergeCell ref="A47:A63"/>
    <mergeCell ref="B47:B48"/>
    <mergeCell ref="C47:C48"/>
    <mergeCell ref="D47:D48"/>
    <mergeCell ref="E47:E48"/>
    <mergeCell ref="O116:O117"/>
    <mergeCell ref="F116:J116"/>
    <mergeCell ref="K116:K117"/>
    <mergeCell ref="L116:L117"/>
    <mergeCell ref="M116:M117"/>
    <mergeCell ref="N116:N117"/>
    <mergeCell ref="A116:A144"/>
    <mergeCell ref="B116:B117"/>
    <mergeCell ref="C116:C117"/>
    <mergeCell ref="D116:D117"/>
    <mergeCell ref="E116:E117"/>
    <mergeCell ref="N146:N147"/>
    <mergeCell ref="O146:O147"/>
    <mergeCell ref="A146:A164"/>
    <mergeCell ref="B146:B147"/>
    <mergeCell ref="C146:C147"/>
    <mergeCell ref="D146:D147"/>
    <mergeCell ref="E146:E147"/>
    <mergeCell ref="F146:J146"/>
    <mergeCell ref="K146:K147"/>
    <mergeCell ref="L146:L147"/>
    <mergeCell ref="M146:M147"/>
    <mergeCell ref="N174:N175"/>
    <mergeCell ref="O174:O175"/>
    <mergeCell ref="A174:A196"/>
    <mergeCell ref="B174:B175"/>
    <mergeCell ref="C174:C175"/>
    <mergeCell ref="D174:D175"/>
    <mergeCell ref="E174:E175"/>
    <mergeCell ref="F174:J174"/>
    <mergeCell ref="K174:K175"/>
    <mergeCell ref="L174:L175"/>
    <mergeCell ref="M174:M175"/>
  </mergeCells>
  <pageMargins left="0.7" right="0.7" top="0.75" bottom="0.75" header="0.3" footer="0.3"/>
  <pageSetup paperSize="9" scale="16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7DB3-1714-4E12-B9B7-2174CF68242E}">
  <sheetPr>
    <pageSetUpPr fitToPage="1"/>
  </sheetPr>
  <dimension ref="A1:P147"/>
  <sheetViews>
    <sheetView topLeftCell="A130" workbookViewId="0">
      <selection activeCell="I135" sqref="I135"/>
    </sheetView>
  </sheetViews>
  <sheetFormatPr defaultRowHeight="14.5" x14ac:dyDescent="0.35"/>
  <cols>
    <col min="3" max="3" width="11.54296875" bestFit="1" customWidth="1"/>
    <col min="4" max="4" width="18" bestFit="1" customWidth="1"/>
    <col min="6" max="6" width="11.7265625" customWidth="1"/>
  </cols>
  <sheetData>
    <row r="1" spans="1:15" ht="15" thickBot="1" x14ac:dyDescent="0.4"/>
    <row r="2" spans="1:15" x14ac:dyDescent="0.35">
      <c r="A2" s="99">
        <v>1</v>
      </c>
      <c r="B2" s="110" t="s">
        <v>0</v>
      </c>
      <c r="C2" s="102" t="s">
        <v>1</v>
      </c>
      <c r="D2" s="102" t="s">
        <v>2</v>
      </c>
      <c r="E2" s="108" t="s">
        <v>3</v>
      </c>
      <c r="F2" s="75" t="s">
        <v>4</v>
      </c>
      <c r="G2" s="76"/>
      <c r="H2" s="76"/>
      <c r="I2" s="76"/>
      <c r="J2" s="77"/>
      <c r="K2" s="102" t="s">
        <v>5</v>
      </c>
      <c r="L2" s="104" t="s">
        <v>6</v>
      </c>
      <c r="M2" s="106" t="s">
        <v>7</v>
      </c>
      <c r="N2" s="108" t="s">
        <v>8</v>
      </c>
      <c r="O2" s="100" t="s">
        <v>9</v>
      </c>
    </row>
    <row r="3" spans="1:15" ht="15" thickBot="1" x14ac:dyDescent="0.4">
      <c r="A3" s="99"/>
      <c r="B3" s="111"/>
      <c r="C3" s="103"/>
      <c r="D3" s="103"/>
      <c r="E3" s="109"/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103"/>
      <c r="L3" s="105"/>
      <c r="M3" s="107"/>
      <c r="N3" s="109"/>
      <c r="O3" s="101"/>
    </row>
    <row r="4" spans="1:15" ht="15" x14ac:dyDescent="0.35">
      <c r="A4" s="99"/>
      <c r="B4" s="1">
        <v>1</v>
      </c>
      <c r="C4" s="2" t="s">
        <v>33</v>
      </c>
      <c r="D4" s="2"/>
      <c r="E4" s="4">
        <v>5.4</v>
      </c>
      <c r="F4" s="5" t="s">
        <v>24</v>
      </c>
      <c r="G4" s="2">
        <v>52</v>
      </c>
      <c r="H4" s="6">
        <v>1.24</v>
      </c>
      <c r="I4" s="2">
        <v>40000</v>
      </c>
      <c r="J4" s="7">
        <f>I4*H4</f>
        <v>49600</v>
      </c>
      <c r="K4" s="8">
        <f>E4-(H4+H5)/5</f>
        <v>5.1020000000000003</v>
      </c>
      <c r="L4" s="8">
        <f>K4*83%</f>
        <v>4.2346599999999999</v>
      </c>
      <c r="M4" s="7">
        <f>L4*14782</f>
        <v>62596.744119999996</v>
      </c>
      <c r="N4" s="7">
        <f>K4*300</f>
        <v>1530.6000000000001</v>
      </c>
      <c r="O4" s="9">
        <f>N4+J4+M4+J5</f>
        <v>113777.34411999999</v>
      </c>
    </row>
    <row r="5" spans="1:15" ht="15" x14ac:dyDescent="0.35">
      <c r="A5" s="99"/>
      <c r="B5" s="10" t="s">
        <v>16</v>
      </c>
      <c r="C5" s="11"/>
      <c r="D5" s="11"/>
      <c r="E5" s="12"/>
      <c r="F5" s="13" t="s">
        <v>23</v>
      </c>
      <c r="G5" s="11">
        <v>1</v>
      </c>
      <c r="H5" s="14">
        <v>0.25</v>
      </c>
      <c r="I5" s="11">
        <v>200</v>
      </c>
      <c r="J5" s="15">
        <f>I5*H5</f>
        <v>50</v>
      </c>
      <c r="K5" s="16"/>
      <c r="L5" s="16"/>
      <c r="M5" s="15"/>
      <c r="N5" s="15"/>
      <c r="O5" s="17"/>
    </row>
    <row r="6" spans="1:15" ht="15" x14ac:dyDescent="0.35">
      <c r="A6" s="99"/>
      <c r="B6" s="10"/>
      <c r="C6" s="11"/>
      <c r="D6" s="11"/>
      <c r="E6" s="12"/>
      <c r="F6" s="13"/>
      <c r="G6" s="11"/>
      <c r="H6" s="14"/>
      <c r="I6" s="11"/>
      <c r="J6" s="15"/>
      <c r="K6" s="16"/>
      <c r="L6" s="16"/>
      <c r="M6" s="15"/>
      <c r="N6" s="15"/>
      <c r="O6" s="17"/>
    </row>
    <row r="7" spans="1:15" ht="15" x14ac:dyDescent="0.35">
      <c r="A7" s="99"/>
      <c r="B7" s="10">
        <v>2</v>
      </c>
      <c r="C7" s="11"/>
      <c r="D7" s="11"/>
      <c r="E7" s="18">
        <v>5.33</v>
      </c>
      <c r="F7" s="13" t="s">
        <v>24</v>
      </c>
      <c r="G7" s="11">
        <v>52</v>
      </c>
      <c r="H7" s="14">
        <v>1.24</v>
      </c>
      <c r="I7" s="11">
        <v>40000</v>
      </c>
      <c r="J7" s="15">
        <f>I7*H7</f>
        <v>49600</v>
      </c>
      <c r="K7" s="16">
        <f>E7-(H7+H8)/5</f>
        <v>5.032</v>
      </c>
      <c r="L7" s="16">
        <f>K7*83%</f>
        <v>4.1765599999999994</v>
      </c>
      <c r="M7" s="15">
        <f>L7*14782</f>
        <v>61737.909919999991</v>
      </c>
      <c r="N7" s="15">
        <f>K7*300</f>
        <v>1509.6</v>
      </c>
      <c r="O7" s="17">
        <f>N7+J7+M7+J8</f>
        <v>112897.50991999998</v>
      </c>
    </row>
    <row r="8" spans="1:15" ht="15" x14ac:dyDescent="0.35">
      <c r="A8" s="99"/>
      <c r="B8" s="10" t="s">
        <v>16</v>
      </c>
      <c r="C8" s="11"/>
      <c r="D8" s="11"/>
      <c r="E8" s="12"/>
      <c r="F8" s="13" t="s">
        <v>23</v>
      </c>
      <c r="G8" s="11">
        <v>1</v>
      </c>
      <c r="H8" s="14">
        <v>0.25</v>
      </c>
      <c r="I8" s="11">
        <v>200</v>
      </c>
      <c r="J8" s="15">
        <f>I8*H8</f>
        <v>50</v>
      </c>
      <c r="K8" s="16"/>
      <c r="L8" s="16"/>
      <c r="M8" s="15"/>
      <c r="N8" s="15"/>
      <c r="O8" s="17"/>
    </row>
    <row r="9" spans="1:15" ht="15" x14ac:dyDescent="0.35">
      <c r="A9" s="99"/>
      <c r="B9" s="10"/>
      <c r="C9" s="11"/>
      <c r="D9" s="11"/>
      <c r="E9" s="12"/>
      <c r="F9" s="13"/>
      <c r="G9" s="11"/>
      <c r="H9" s="14"/>
      <c r="I9" s="11"/>
      <c r="J9" s="15"/>
      <c r="K9" s="16"/>
      <c r="L9" s="16"/>
      <c r="M9" s="15"/>
      <c r="N9" s="15"/>
      <c r="O9" s="17"/>
    </row>
    <row r="10" spans="1:15" ht="15" x14ac:dyDescent="0.35">
      <c r="A10" s="99"/>
      <c r="B10" s="55"/>
      <c r="C10" s="3"/>
      <c r="D10" s="3"/>
      <c r="E10" s="59"/>
      <c r="F10" s="54"/>
      <c r="G10" s="3"/>
      <c r="H10" s="66"/>
      <c r="I10" s="3"/>
      <c r="J10" s="56"/>
      <c r="K10" s="57"/>
      <c r="L10" s="57"/>
      <c r="M10" s="56"/>
      <c r="N10" s="56"/>
      <c r="O10" s="58"/>
    </row>
    <row r="11" spans="1:15" ht="15" x14ac:dyDescent="0.35">
      <c r="A11" s="99"/>
      <c r="B11" s="55">
        <v>3</v>
      </c>
      <c r="C11" s="3"/>
      <c r="D11" s="3" t="s">
        <v>35</v>
      </c>
      <c r="E11" s="65">
        <v>0.8</v>
      </c>
      <c r="F11" s="54"/>
      <c r="G11" s="3"/>
      <c r="H11" s="66"/>
      <c r="I11" s="3"/>
      <c r="J11" s="56"/>
      <c r="K11" s="16">
        <f>E11-(H11+H12)/5</f>
        <v>0.8</v>
      </c>
      <c r="L11" s="16">
        <f>K11*84%</f>
        <v>0.67200000000000004</v>
      </c>
      <c r="M11" s="15">
        <f>L11*14782</f>
        <v>9933.5040000000008</v>
      </c>
      <c r="N11" s="15"/>
      <c r="O11" s="17">
        <f>N11+J11+M11+J12</f>
        <v>9933.5040000000008</v>
      </c>
    </row>
    <row r="12" spans="1:15" ht="15" x14ac:dyDescent="0.35">
      <c r="A12" s="99"/>
      <c r="B12" s="55" t="s">
        <v>16</v>
      </c>
      <c r="C12" s="3"/>
      <c r="D12" s="3"/>
      <c r="E12" s="59"/>
      <c r="F12" s="54"/>
      <c r="G12" s="3"/>
      <c r="H12" s="66"/>
      <c r="I12" s="3"/>
      <c r="J12" s="56"/>
      <c r="K12" s="57"/>
      <c r="L12" s="57"/>
      <c r="M12" s="56"/>
      <c r="N12" s="56"/>
      <c r="O12" s="58"/>
    </row>
    <row r="13" spans="1:15" ht="15" x14ac:dyDescent="0.35">
      <c r="A13" s="99"/>
      <c r="B13" s="55"/>
      <c r="C13" s="3"/>
      <c r="D13" s="3"/>
      <c r="E13" s="59"/>
      <c r="F13" s="54"/>
      <c r="G13" s="3"/>
      <c r="H13" s="66"/>
      <c r="I13" s="3"/>
      <c r="J13" s="56"/>
      <c r="K13" s="57"/>
      <c r="L13" s="57"/>
      <c r="M13" s="56"/>
      <c r="N13" s="56"/>
      <c r="O13" s="58"/>
    </row>
    <row r="14" spans="1:15" ht="15" x14ac:dyDescent="0.35">
      <c r="A14" s="99"/>
      <c r="B14" s="55"/>
      <c r="C14" s="3"/>
      <c r="D14" s="3"/>
      <c r="E14" s="59"/>
      <c r="F14" s="54"/>
      <c r="G14" s="3"/>
      <c r="H14" s="66"/>
      <c r="I14" s="3"/>
      <c r="J14" s="56"/>
      <c r="K14" s="57"/>
      <c r="L14" s="57"/>
      <c r="M14" s="56"/>
      <c r="N14" s="56"/>
      <c r="O14" s="58"/>
    </row>
    <row r="15" spans="1:15" ht="15" x14ac:dyDescent="0.35">
      <c r="A15" s="99"/>
      <c r="B15" s="55">
        <v>3</v>
      </c>
      <c r="C15" s="3"/>
      <c r="D15" s="3"/>
      <c r="E15" s="18">
        <v>3.75</v>
      </c>
      <c r="F15" s="13"/>
      <c r="G15" s="11"/>
      <c r="H15" s="14"/>
      <c r="I15" s="11"/>
      <c r="J15" s="15"/>
      <c r="K15" s="16">
        <f>E15-(H15+H16)/5</f>
        <v>3.75</v>
      </c>
      <c r="L15" s="16">
        <f>K15*98%</f>
        <v>3.6749999999999998</v>
      </c>
      <c r="M15" s="15">
        <f>L15*14782</f>
        <v>54323.85</v>
      </c>
      <c r="N15" s="15"/>
      <c r="O15" s="17">
        <f>N15+J15+M15+J16</f>
        <v>54323.85</v>
      </c>
    </row>
    <row r="16" spans="1:15" ht="15" x14ac:dyDescent="0.35">
      <c r="A16" s="99"/>
      <c r="B16" s="55" t="s">
        <v>34</v>
      </c>
      <c r="C16" s="3"/>
      <c r="D16" s="3"/>
      <c r="E16" s="12"/>
      <c r="F16" s="13"/>
      <c r="G16" s="11"/>
      <c r="H16" s="14"/>
      <c r="I16" s="11"/>
      <c r="J16" s="15"/>
      <c r="K16" s="16"/>
      <c r="L16" s="16"/>
      <c r="M16" s="15"/>
      <c r="N16" s="15"/>
      <c r="O16" s="17"/>
    </row>
    <row r="17" spans="1:16" ht="15" x14ac:dyDescent="0.35">
      <c r="A17" s="99"/>
      <c r="B17" s="55"/>
      <c r="C17" s="3"/>
      <c r="D17" s="3"/>
      <c r="E17" s="59"/>
      <c r="F17" s="54"/>
      <c r="G17" s="3"/>
      <c r="H17" s="66"/>
      <c r="I17" s="3"/>
      <c r="J17" s="56"/>
      <c r="K17" s="57"/>
      <c r="L17" s="57"/>
      <c r="M17" s="56"/>
      <c r="N17" s="56"/>
      <c r="O17" s="58"/>
    </row>
    <row r="18" spans="1:16" ht="15" x14ac:dyDescent="0.35">
      <c r="A18" s="99"/>
      <c r="B18" s="55"/>
      <c r="C18" s="3"/>
      <c r="D18" s="3"/>
      <c r="E18" s="59"/>
      <c r="F18" s="54"/>
      <c r="G18" s="3"/>
      <c r="H18" s="66"/>
      <c r="I18" s="3"/>
      <c r="J18" s="56"/>
      <c r="K18" s="57"/>
      <c r="L18" s="57"/>
      <c r="M18" s="56"/>
      <c r="N18" s="56"/>
      <c r="O18" s="58"/>
    </row>
    <row r="19" spans="1:16" ht="16" thickBot="1" x14ac:dyDescent="0.4">
      <c r="A19" s="99"/>
      <c r="B19" s="19"/>
      <c r="C19" s="20"/>
      <c r="D19" s="20"/>
      <c r="E19" s="21"/>
      <c r="F19" s="22"/>
      <c r="G19" s="22"/>
      <c r="H19" s="23"/>
      <c r="I19" s="20"/>
      <c r="J19" s="24"/>
      <c r="K19" s="21"/>
      <c r="L19" s="21"/>
      <c r="M19" s="21"/>
      <c r="N19" s="25"/>
      <c r="O19" s="26"/>
    </row>
    <row r="20" spans="1:16" ht="16" thickBot="1" x14ac:dyDescent="0.4">
      <c r="A20" s="99"/>
      <c r="B20" s="27"/>
      <c r="C20" s="28"/>
      <c r="D20" s="28"/>
      <c r="E20" s="29">
        <f>SUM(E4:E19)</f>
        <v>15.280000000000001</v>
      </c>
      <c r="F20" s="28"/>
      <c r="G20" s="28">
        <f>SUM(G4:G19)</f>
        <v>106</v>
      </c>
      <c r="H20" s="29">
        <f>SUM(H4:H19)</f>
        <v>2.98</v>
      </c>
      <c r="I20" s="28"/>
      <c r="J20" s="30">
        <f t="shared" ref="J20:O20" si="0">SUM(J4:J19)</f>
        <v>99300</v>
      </c>
      <c r="K20" s="29">
        <f t="shared" si="0"/>
        <v>14.684000000000001</v>
      </c>
      <c r="L20" s="53">
        <f t="shared" si="0"/>
        <v>12.758220000000001</v>
      </c>
      <c r="M20" s="31">
        <f t="shared" si="0"/>
        <v>188592.00804000002</v>
      </c>
      <c r="N20" s="31">
        <f t="shared" si="0"/>
        <v>3040.2</v>
      </c>
      <c r="O20" s="32">
        <f t="shared" si="0"/>
        <v>290932.20803999994</v>
      </c>
      <c r="P20" t="s">
        <v>26</v>
      </c>
    </row>
    <row r="21" spans="1:16" ht="15" thickBot="1" x14ac:dyDescent="0.4"/>
    <row r="22" spans="1:16" x14ac:dyDescent="0.35">
      <c r="A22" s="99">
        <v>2</v>
      </c>
      <c r="B22" s="110" t="s">
        <v>0</v>
      </c>
      <c r="C22" s="102" t="s">
        <v>1</v>
      </c>
      <c r="D22" s="102" t="s">
        <v>2</v>
      </c>
      <c r="E22" s="108" t="s">
        <v>3</v>
      </c>
      <c r="F22" s="112" t="s">
        <v>4</v>
      </c>
      <c r="G22" s="113"/>
      <c r="H22" s="113"/>
      <c r="I22" s="113"/>
      <c r="J22" s="114"/>
      <c r="K22" s="102" t="s">
        <v>5</v>
      </c>
      <c r="L22" s="104" t="s">
        <v>6</v>
      </c>
      <c r="M22" s="106" t="s">
        <v>7</v>
      </c>
      <c r="N22" s="108" t="s">
        <v>8</v>
      </c>
      <c r="O22" s="100" t="s">
        <v>9</v>
      </c>
    </row>
    <row r="23" spans="1:16" ht="15" thickBot="1" x14ac:dyDescent="0.4">
      <c r="A23" s="99"/>
      <c r="B23" s="111"/>
      <c r="C23" s="103"/>
      <c r="D23" s="103"/>
      <c r="E23" s="109"/>
      <c r="F23" s="3" t="s">
        <v>10</v>
      </c>
      <c r="G23" s="3" t="s">
        <v>11</v>
      </c>
      <c r="H23" s="3" t="s">
        <v>12</v>
      </c>
      <c r="I23" s="3" t="s">
        <v>13</v>
      </c>
      <c r="J23" s="3" t="s">
        <v>14</v>
      </c>
      <c r="K23" s="103"/>
      <c r="L23" s="105"/>
      <c r="M23" s="107"/>
      <c r="N23" s="109"/>
      <c r="O23" s="101"/>
    </row>
    <row r="24" spans="1:16" ht="15" x14ac:dyDescent="0.35">
      <c r="A24" s="99"/>
      <c r="B24" s="1">
        <v>1</v>
      </c>
      <c r="C24" s="2" t="s">
        <v>37</v>
      </c>
      <c r="D24" s="2"/>
      <c r="E24" s="4">
        <v>76.400000000000006</v>
      </c>
      <c r="F24" s="5" t="s">
        <v>19</v>
      </c>
      <c r="G24" s="2">
        <v>652</v>
      </c>
      <c r="H24" s="6">
        <v>11.86</v>
      </c>
      <c r="I24" s="2">
        <v>15000</v>
      </c>
      <c r="J24" s="7">
        <f>I24*H24</f>
        <v>177900</v>
      </c>
      <c r="K24" s="8">
        <f>E24-(H24+H25+H26)/5</f>
        <v>72.212000000000003</v>
      </c>
      <c r="L24" s="8">
        <f>K24*82%</f>
        <v>59.213839999999998</v>
      </c>
      <c r="M24" s="7">
        <f>L24*14785</f>
        <v>875476.62439999997</v>
      </c>
      <c r="N24" s="7">
        <f>K24*300</f>
        <v>21663.600000000002</v>
      </c>
      <c r="O24" s="9">
        <f>N24+J24+M24+J25+J26</f>
        <v>1156760.2243999999</v>
      </c>
    </row>
    <row r="25" spans="1:16" ht="15" x14ac:dyDescent="0.35">
      <c r="A25" s="99"/>
      <c r="B25" s="10" t="s">
        <v>16</v>
      </c>
      <c r="C25" s="11"/>
      <c r="D25" s="11"/>
      <c r="E25" s="12"/>
      <c r="F25" s="13" t="s">
        <v>18</v>
      </c>
      <c r="G25" s="11">
        <v>52</v>
      </c>
      <c r="H25" s="14">
        <v>9.08</v>
      </c>
      <c r="I25" s="11">
        <v>9000</v>
      </c>
      <c r="J25" s="15">
        <f>I25*H25</f>
        <v>81720</v>
      </c>
      <c r="K25" s="16"/>
      <c r="L25" s="16"/>
      <c r="M25" s="15"/>
      <c r="N25" s="15"/>
      <c r="O25" s="17"/>
    </row>
    <row r="26" spans="1:16" ht="15" x14ac:dyDescent="0.35">
      <c r="A26" s="99"/>
      <c r="B26" s="10"/>
      <c r="C26" s="11"/>
      <c r="D26" s="11"/>
      <c r="E26" s="12"/>
      <c r="F26" s="13"/>
      <c r="G26" s="11"/>
      <c r="H26" s="14"/>
      <c r="I26" s="11"/>
      <c r="J26" s="15"/>
      <c r="K26" s="16"/>
      <c r="L26" s="16"/>
      <c r="M26" s="15"/>
      <c r="N26" s="15"/>
      <c r="O26" s="17"/>
    </row>
    <row r="27" spans="1:16" ht="16" thickBot="1" x14ac:dyDescent="0.4">
      <c r="A27" s="99"/>
      <c r="B27" s="19"/>
      <c r="C27" s="20"/>
      <c r="D27" s="20"/>
      <c r="E27" s="21"/>
      <c r="F27" s="22"/>
      <c r="G27" s="22"/>
      <c r="H27" s="23"/>
      <c r="I27" s="20"/>
      <c r="J27" s="24"/>
      <c r="K27" s="21"/>
      <c r="L27" s="21"/>
      <c r="M27" s="21"/>
      <c r="N27" s="25"/>
      <c r="O27" s="26"/>
    </row>
    <row r="28" spans="1:16" ht="16" thickBot="1" x14ac:dyDescent="0.4">
      <c r="A28" s="99"/>
      <c r="B28" s="27"/>
      <c r="C28" s="28"/>
      <c r="D28" s="28"/>
      <c r="E28" s="29">
        <f>SUM(E24:E27)</f>
        <v>76.400000000000006</v>
      </c>
      <c r="F28" s="28"/>
      <c r="G28" s="28">
        <f>SUM(G24:G27)</f>
        <v>704</v>
      </c>
      <c r="H28" s="29">
        <f>SUM(H24:H27)</f>
        <v>20.939999999999998</v>
      </c>
      <c r="I28" s="28"/>
      <c r="J28" s="30">
        <f t="shared" ref="J28:O28" si="1">SUM(J24:J27)</f>
        <v>259620</v>
      </c>
      <c r="K28" s="29">
        <f t="shared" si="1"/>
        <v>72.212000000000003</v>
      </c>
      <c r="L28" s="53">
        <f t="shared" si="1"/>
        <v>59.213839999999998</v>
      </c>
      <c r="M28" s="31">
        <f t="shared" si="1"/>
        <v>875476.62439999997</v>
      </c>
      <c r="N28" s="31">
        <f t="shared" si="1"/>
        <v>21663.600000000002</v>
      </c>
      <c r="O28" s="32">
        <f t="shared" si="1"/>
        <v>1156760.2243999999</v>
      </c>
      <c r="P28" t="s">
        <v>26</v>
      </c>
    </row>
    <row r="29" spans="1:16" ht="15" thickBot="1" x14ac:dyDescent="0.4"/>
    <row r="30" spans="1:16" x14ac:dyDescent="0.35">
      <c r="A30" s="99">
        <v>3</v>
      </c>
      <c r="B30" s="110" t="s">
        <v>0</v>
      </c>
      <c r="C30" s="102" t="s">
        <v>1</v>
      </c>
      <c r="D30" s="102" t="s">
        <v>2</v>
      </c>
      <c r="E30" s="108" t="s">
        <v>3</v>
      </c>
      <c r="F30" s="75" t="s">
        <v>4</v>
      </c>
      <c r="G30" s="76"/>
      <c r="H30" s="76"/>
      <c r="I30" s="76"/>
      <c r="J30" s="77"/>
      <c r="K30" s="102" t="s">
        <v>5</v>
      </c>
      <c r="L30" s="104" t="s">
        <v>6</v>
      </c>
      <c r="M30" s="106" t="s">
        <v>7</v>
      </c>
      <c r="N30" s="108" t="s">
        <v>8</v>
      </c>
      <c r="O30" s="100" t="s">
        <v>9</v>
      </c>
    </row>
    <row r="31" spans="1:16" ht="15" thickBot="1" x14ac:dyDescent="0.4">
      <c r="A31" s="99"/>
      <c r="B31" s="111"/>
      <c r="C31" s="103"/>
      <c r="D31" s="103"/>
      <c r="E31" s="109"/>
      <c r="F31" s="3" t="s">
        <v>10</v>
      </c>
      <c r="G31" s="3" t="s">
        <v>11</v>
      </c>
      <c r="H31" s="3" t="s">
        <v>12</v>
      </c>
      <c r="I31" s="3" t="s">
        <v>13</v>
      </c>
      <c r="J31" s="3" t="s">
        <v>14</v>
      </c>
      <c r="K31" s="103"/>
      <c r="L31" s="105"/>
      <c r="M31" s="107"/>
      <c r="N31" s="109"/>
      <c r="O31" s="101"/>
    </row>
    <row r="32" spans="1:16" ht="15" x14ac:dyDescent="0.35">
      <c r="A32" s="99"/>
      <c r="B32" s="1">
        <v>1</v>
      </c>
      <c r="C32" s="2" t="s">
        <v>49</v>
      </c>
      <c r="D32" s="2"/>
      <c r="E32" s="4">
        <v>0.65</v>
      </c>
      <c r="F32" s="5" t="s">
        <v>17</v>
      </c>
      <c r="G32" s="2">
        <v>8</v>
      </c>
      <c r="H32" s="6">
        <v>0.12</v>
      </c>
      <c r="I32" s="2">
        <v>200</v>
      </c>
      <c r="J32" s="7">
        <f>I32*H32</f>
        <v>24</v>
      </c>
      <c r="K32" s="8">
        <f>E32-(H32+H33)/5</f>
        <v>0.626</v>
      </c>
      <c r="L32" s="8">
        <f>K32*85%</f>
        <v>0.53210000000000002</v>
      </c>
      <c r="M32" s="7">
        <f>L32*14914</f>
        <v>7935.7394000000004</v>
      </c>
      <c r="N32" s="7">
        <v>1050</v>
      </c>
      <c r="O32" s="9">
        <f>N32+J32+M32+J33</f>
        <v>9009.7394000000004</v>
      </c>
    </row>
    <row r="33" spans="1:15" ht="15" x14ac:dyDescent="0.35">
      <c r="A33" s="99"/>
      <c r="B33" s="10" t="s">
        <v>16</v>
      </c>
      <c r="C33" s="11" t="s">
        <v>46</v>
      </c>
      <c r="D33" s="11"/>
      <c r="E33" s="12"/>
      <c r="F33" s="13"/>
      <c r="G33" s="11"/>
      <c r="H33" s="14"/>
      <c r="I33" s="11"/>
      <c r="J33" s="15"/>
      <c r="K33" s="16"/>
      <c r="L33" s="16"/>
      <c r="M33" s="15"/>
      <c r="N33" s="15"/>
      <c r="O33" s="17"/>
    </row>
    <row r="34" spans="1:15" ht="15" x14ac:dyDescent="0.35">
      <c r="A34" s="99"/>
      <c r="B34" s="10"/>
      <c r="C34" s="11"/>
      <c r="D34" s="11"/>
      <c r="E34" s="12"/>
      <c r="F34" s="13"/>
      <c r="G34" s="11"/>
      <c r="H34" s="14"/>
      <c r="I34" s="11"/>
      <c r="J34" s="15"/>
      <c r="K34" s="16"/>
      <c r="L34" s="16"/>
      <c r="M34" s="15"/>
      <c r="N34" s="15"/>
      <c r="O34" s="17"/>
    </row>
    <row r="35" spans="1:15" ht="15" x14ac:dyDescent="0.35">
      <c r="A35" s="99"/>
      <c r="B35" s="10"/>
      <c r="C35" s="11"/>
      <c r="D35" s="11"/>
      <c r="E35" s="18"/>
      <c r="F35" s="13"/>
      <c r="G35" s="11"/>
      <c r="H35" s="14"/>
      <c r="I35" s="11"/>
      <c r="J35" s="15"/>
      <c r="K35" s="16"/>
      <c r="L35" s="16"/>
      <c r="M35" s="15"/>
      <c r="N35" s="15"/>
      <c r="O35" s="17"/>
    </row>
    <row r="36" spans="1:15" ht="15" x14ac:dyDescent="0.35">
      <c r="A36" s="99"/>
      <c r="B36" s="10"/>
      <c r="C36" s="11"/>
      <c r="D36" s="11"/>
      <c r="E36" s="18"/>
      <c r="F36" s="13"/>
      <c r="G36" s="11"/>
      <c r="H36" s="14"/>
      <c r="I36" s="11"/>
      <c r="J36" s="15"/>
      <c r="K36" s="16"/>
      <c r="L36" s="16"/>
      <c r="M36" s="15"/>
      <c r="N36" s="15"/>
      <c r="O36" s="17"/>
    </row>
    <row r="37" spans="1:15" ht="15" x14ac:dyDescent="0.35">
      <c r="A37" s="99"/>
      <c r="B37" s="10">
        <v>2</v>
      </c>
      <c r="C37" s="11" t="s">
        <v>42</v>
      </c>
      <c r="D37" s="11" t="s">
        <v>42</v>
      </c>
      <c r="E37" s="18">
        <f>16.19-15.67</f>
        <v>0.52000000000000135</v>
      </c>
      <c r="F37" s="13"/>
      <c r="G37" s="11"/>
      <c r="H37" s="14"/>
      <c r="I37" s="11"/>
      <c r="J37" s="15"/>
      <c r="K37" s="16">
        <f>E37-(H37+H38)/5</f>
        <v>0.52000000000000135</v>
      </c>
      <c r="L37" s="16">
        <f>K37*85%</f>
        <v>0.44200000000000111</v>
      </c>
      <c r="M37" s="15">
        <f>L37*14914</f>
        <v>6591.9880000000167</v>
      </c>
      <c r="N37" s="15">
        <v>300</v>
      </c>
      <c r="O37" s="17">
        <f>N37+J37+M37+J38</f>
        <v>6891.9880000000167</v>
      </c>
    </row>
    <row r="38" spans="1:15" ht="15" x14ac:dyDescent="0.35">
      <c r="A38" s="99"/>
      <c r="B38" s="10" t="s">
        <v>16</v>
      </c>
      <c r="C38" s="11" t="s">
        <v>46</v>
      </c>
      <c r="D38" s="11"/>
      <c r="E38" s="18"/>
      <c r="F38" s="13"/>
      <c r="G38" s="11"/>
      <c r="H38" s="14"/>
      <c r="I38" s="11"/>
      <c r="J38" s="15"/>
      <c r="K38" s="16"/>
      <c r="L38" s="16"/>
      <c r="M38" s="15"/>
      <c r="N38" s="15"/>
      <c r="O38" s="17"/>
    </row>
    <row r="39" spans="1:15" ht="15" x14ac:dyDescent="0.35">
      <c r="A39" s="99"/>
      <c r="B39" s="10"/>
      <c r="C39" s="11"/>
      <c r="D39" s="11"/>
      <c r="E39" s="18"/>
      <c r="F39" s="13"/>
      <c r="G39" s="11"/>
      <c r="H39" s="14"/>
      <c r="I39" s="11"/>
      <c r="J39" s="15"/>
      <c r="K39" s="16"/>
      <c r="L39" s="16"/>
      <c r="M39" s="15"/>
      <c r="N39" s="15"/>
      <c r="O39" s="17"/>
    </row>
    <row r="40" spans="1:15" ht="15" x14ac:dyDescent="0.35">
      <c r="A40" s="99"/>
      <c r="B40" s="10">
        <v>3</v>
      </c>
      <c r="C40" s="11" t="s">
        <v>45</v>
      </c>
      <c r="D40" s="11"/>
      <c r="E40" s="18">
        <f>17.72-14.74</f>
        <v>2.9799999999999986</v>
      </c>
      <c r="F40" s="13" t="s">
        <v>24</v>
      </c>
      <c r="G40" s="11">
        <f>13+5</f>
        <v>18</v>
      </c>
      <c r="H40" s="14">
        <f>0.09+0.04</f>
        <v>0.13</v>
      </c>
      <c r="I40" s="11">
        <v>40000</v>
      </c>
      <c r="J40" s="15">
        <f>I40*H40</f>
        <v>5200</v>
      </c>
      <c r="K40" s="16">
        <f>E40-(H40+H41)/5</f>
        <v>1.3559999999999985</v>
      </c>
      <c r="L40" s="16">
        <f>K40*85%</f>
        <v>1.1525999999999987</v>
      </c>
      <c r="M40" s="15">
        <f>L40*14914</f>
        <v>17189.876399999983</v>
      </c>
      <c r="N40" s="15">
        <v>500</v>
      </c>
      <c r="O40" s="17">
        <f>N40+J40+M40+J41</f>
        <v>24088.376399999983</v>
      </c>
    </row>
    <row r="41" spans="1:15" ht="15" x14ac:dyDescent="0.35">
      <c r="A41" s="99"/>
      <c r="B41" s="10" t="s">
        <v>16</v>
      </c>
      <c r="C41" s="11" t="s">
        <v>46</v>
      </c>
      <c r="D41" s="11"/>
      <c r="E41" s="18"/>
      <c r="F41" s="13" t="s">
        <v>15</v>
      </c>
      <c r="G41" s="11">
        <v>1</v>
      </c>
      <c r="H41" s="14">
        <v>7.99</v>
      </c>
      <c r="I41" s="11">
        <v>150</v>
      </c>
      <c r="J41" s="15">
        <f>I41*H41</f>
        <v>1198.5</v>
      </c>
      <c r="K41" s="16"/>
      <c r="L41" s="16"/>
      <c r="M41" s="15"/>
      <c r="N41" s="15"/>
      <c r="O41" s="17"/>
    </row>
    <row r="42" spans="1:15" ht="15" x14ac:dyDescent="0.35">
      <c r="A42" s="99"/>
      <c r="B42" s="10"/>
      <c r="C42" s="11"/>
      <c r="D42" s="11"/>
      <c r="E42" s="18"/>
      <c r="F42" s="13"/>
      <c r="G42" s="11"/>
      <c r="H42" s="14"/>
      <c r="I42" s="11"/>
      <c r="J42" s="15"/>
      <c r="K42" s="16"/>
      <c r="L42" s="16"/>
      <c r="M42" s="15"/>
      <c r="N42" s="15"/>
      <c r="O42" s="17"/>
    </row>
    <row r="43" spans="1:15" ht="15" x14ac:dyDescent="0.35">
      <c r="A43" s="99"/>
      <c r="B43" s="10"/>
      <c r="C43" s="11"/>
      <c r="D43" s="11"/>
      <c r="E43" s="18"/>
      <c r="F43" s="13"/>
      <c r="G43" s="11"/>
      <c r="H43" s="14"/>
      <c r="I43" s="11"/>
      <c r="J43" s="15"/>
      <c r="K43" s="16"/>
      <c r="L43" s="16"/>
      <c r="M43" s="15"/>
      <c r="N43" s="15"/>
      <c r="O43" s="17"/>
    </row>
    <row r="44" spans="1:15" ht="15" x14ac:dyDescent="0.35">
      <c r="A44" s="99"/>
      <c r="B44" s="10">
        <v>4</v>
      </c>
      <c r="C44" s="11" t="s">
        <v>47</v>
      </c>
      <c r="D44" s="11" t="s">
        <v>43</v>
      </c>
      <c r="E44" s="18">
        <v>16.41</v>
      </c>
      <c r="F44" s="13" t="s">
        <v>44</v>
      </c>
      <c r="G44" s="11">
        <v>48</v>
      </c>
      <c r="H44" s="14">
        <v>7.8</v>
      </c>
      <c r="I44" s="11">
        <v>100</v>
      </c>
      <c r="J44" s="15">
        <f>I44*H44</f>
        <v>780</v>
      </c>
      <c r="K44" s="16">
        <f>E44-(H44+H45)/5</f>
        <v>11.98</v>
      </c>
      <c r="L44" s="16">
        <f>K44*82%</f>
        <v>9.823599999999999</v>
      </c>
      <c r="M44" s="15">
        <f>L44*14914</f>
        <v>146509.17039999997</v>
      </c>
      <c r="N44" s="15">
        <f>K44*300</f>
        <v>3594</v>
      </c>
      <c r="O44" s="17">
        <f>N44+J44+M44+J45</f>
        <v>152318.17039999997</v>
      </c>
    </row>
    <row r="45" spans="1:15" ht="15" x14ac:dyDescent="0.35">
      <c r="A45" s="99"/>
      <c r="B45" s="10" t="s">
        <v>16</v>
      </c>
      <c r="C45" s="11"/>
      <c r="D45" s="11"/>
      <c r="E45" s="18"/>
      <c r="F45" s="13" t="s">
        <v>15</v>
      </c>
      <c r="G45" s="11">
        <v>50</v>
      </c>
      <c r="H45" s="14">
        <v>14.35</v>
      </c>
      <c r="I45" s="11">
        <v>100</v>
      </c>
      <c r="J45" s="15">
        <f>I45*H45</f>
        <v>1435</v>
      </c>
      <c r="K45" s="16"/>
      <c r="L45" s="16"/>
      <c r="M45" s="15"/>
      <c r="N45" s="15"/>
      <c r="O45" s="17"/>
    </row>
    <row r="46" spans="1:15" ht="15" x14ac:dyDescent="0.35">
      <c r="A46" s="99"/>
      <c r="B46" s="10"/>
      <c r="C46" s="11"/>
      <c r="D46" s="11"/>
      <c r="E46" s="18"/>
      <c r="F46" s="13"/>
      <c r="G46" s="11"/>
      <c r="H46" s="14"/>
      <c r="I46" s="11"/>
      <c r="J46" s="15"/>
      <c r="K46" s="16"/>
      <c r="L46" s="16"/>
      <c r="M46" s="15"/>
      <c r="N46" s="15"/>
      <c r="O46" s="17"/>
    </row>
    <row r="47" spans="1:15" ht="15" x14ac:dyDescent="0.35">
      <c r="A47" s="99"/>
      <c r="B47" s="10"/>
      <c r="C47" s="11"/>
      <c r="D47" s="11"/>
      <c r="E47" s="18"/>
      <c r="F47" s="13"/>
      <c r="G47" s="11"/>
      <c r="H47" s="14"/>
      <c r="I47" s="11"/>
      <c r="J47" s="15"/>
      <c r="K47" s="16"/>
      <c r="L47" s="16"/>
      <c r="M47" s="15"/>
      <c r="N47" s="15"/>
      <c r="O47" s="17"/>
    </row>
    <row r="48" spans="1:15" ht="16" thickBot="1" x14ac:dyDescent="0.4">
      <c r="A48" s="99"/>
      <c r="B48" s="19"/>
      <c r="C48" s="20"/>
      <c r="D48" s="20"/>
      <c r="E48" s="21"/>
      <c r="F48" s="22"/>
      <c r="G48" s="22"/>
      <c r="H48" s="23"/>
      <c r="I48" s="20"/>
      <c r="J48" s="24"/>
      <c r="K48" s="21"/>
      <c r="L48" s="21"/>
      <c r="M48" s="21"/>
      <c r="N48" s="25"/>
      <c r="O48" s="26"/>
    </row>
    <row r="49" spans="1:16" ht="16" thickBot="1" x14ac:dyDescent="0.4">
      <c r="A49" s="99"/>
      <c r="B49" s="27"/>
      <c r="C49" s="28"/>
      <c r="D49" s="28"/>
      <c r="E49" s="29">
        <f>SUM(E32:E48)</f>
        <v>20.560000000000002</v>
      </c>
      <c r="F49" s="28"/>
      <c r="G49" s="28">
        <f>SUM(G32:G48)</f>
        <v>125</v>
      </c>
      <c r="H49" s="29">
        <f>SUM(H32:H48)</f>
        <v>30.39</v>
      </c>
      <c r="I49" s="28"/>
      <c r="J49" s="30">
        <f t="shared" ref="J49:O49" si="2">SUM(J32:J48)</f>
        <v>8637.5</v>
      </c>
      <c r="K49" s="29">
        <f t="shared" si="2"/>
        <v>14.481999999999999</v>
      </c>
      <c r="L49" s="53">
        <f t="shared" si="2"/>
        <v>11.950299999999999</v>
      </c>
      <c r="M49" s="31">
        <f t="shared" si="2"/>
        <v>178226.77419999999</v>
      </c>
      <c r="N49" s="31">
        <f t="shared" si="2"/>
        <v>5444</v>
      </c>
      <c r="O49" s="32">
        <f t="shared" si="2"/>
        <v>192308.27419999999</v>
      </c>
      <c r="P49" t="s">
        <v>26</v>
      </c>
    </row>
    <row r="50" spans="1:16" ht="15" thickBot="1" x14ac:dyDescent="0.4"/>
    <row r="51" spans="1:16" x14ac:dyDescent="0.35">
      <c r="A51" s="99">
        <v>4</v>
      </c>
      <c r="B51" s="110" t="s">
        <v>0</v>
      </c>
      <c r="C51" s="102" t="s">
        <v>1</v>
      </c>
      <c r="D51" s="102" t="s">
        <v>2</v>
      </c>
      <c r="E51" s="108" t="s">
        <v>3</v>
      </c>
      <c r="F51" s="112" t="s">
        <v>4</v>
      </c>
      <c r="G51" s="113"/>
      <c r="H51" s="113"/>
      <c r="I51" s="113"/>
      <c r="J51" s="114"/>
      <c r="K51" s="102" t="s">
        <v>5</v>
      </c>
      <c r="L51" s="104" t="s">
        <v>6</v>
      </c>
      <c r="M51" s="106" t="s">
        <v>7</v>
      </c>
      <c r="N51" s="108" t="s">
        <v>8</v>
      </c>
      <c r="O51" s="100" t="s">
        <v>9</v>
      </c>
    </row>
    <row r="52" spans="1:16" ht="15" thickBot="1" x14ac:dyDescent="0.4">
      <c r="A52" s="99"/>
      <c r="B52" s="111"/>
      <c r="C52" s="103"/>
      <c r="D52" s="103"/>
      <c r="E52" s="109"/>
      <c r="F52" s="3" t="s">
        <v>10</v>
      </c>
      <c r="G52" s="3" t="s">
        <v>11</v>
      </c>
      <c r="H52" s="3" t="s">
        <v>12</v>
      </c>
      <c r="I52" s="3" t="s">
        <v>13</v>
      </c>
      <c r="J52" s="3" t="s">
        <v>14</v>
      </c>
      <c r="K52" s="103"/>
      <c r="L52" s="105"/>
      <c r="M52" s="107"/>
      <c r="N52" s="109"/>
      <c r="O52" s="101"/>
    </row>
    <row r="53" spans="1:16" ht="15" x14ac:dyDescent="0.35">
      <c r="A53" s="99"/>
      <c r="B53" s="1">
        <v>1</v>
      </c>
      <c r="C53" s="2" t="s">
        <v>70</v>
      </c>
      <c r="D53" s="2"/>
      <c r="E53" s="4">
        <v>8.5500000000000007</v>
      </c>
      <c r="F53" s="5" t="s">
        <v>17</v>
      </c>
      <c r="G53" s="2">
        <v>5</v>
      </c>
      <c r="H53" s="6">
        <v>0.75</v>
      </c>
      <c r="I53" s="2">
        <v>400</v>
      </c>
      <c r="J53" s="7">
        <f>I53*H53</f>
        <v>300</v>
      </c>
      <c r="K53" s="8">
        <f>E53-(H53+H54)/5</f>
        <v>8.4</v>
      </c>
      <c r="L53" s="8">
        <f>K53*92%</f>
        <v>7.7280000000000006</v>
      </c>
      <c r="M53" s="7">
        <f>L53*14785</f>
        <v>114258.48000000001</v>
      </c>
      <c r="N53" s="7">
        <f>0.504*15100+200</f>
        <v>7810.4</v>
      </c>
      <c r="O53" s="9">
        <f>N53+J53+M53</f>
        <v>122368.88</v>
      </c>
    </row>
    <row r="54" spans="1:16" ht="15" x14ac:dyDescent="0.35">
      <c r="A54" s="99"/>
      <c r="B54" s="10" t="s">
        <v>21</v>
      </c>
      <c r="C54" s="11"/>
      <c r="D54" s="11"/>
      <c r="E54" s="12"/>
      <c r="F54" s="13"/>
      <c r="G54" s="11"/>
      <c r="H54" s="14"/>
      <c r="I54" s="11"/>
      <c r="J54" s="15"/>
      <c r="K54" s="16"/>
      <c r="L54" s="16"/>
      <c r="M54" s="15"/>
      <c r="N54" s="15"/>
      <c r="O54" s="17"/>
    </row>
    <row r="55" spans="1:16" ht="15" x14ac:dyDescent="0.35">
      <c r="A55" s="99"/>
      <c r="B55" s="10"/>
      <c r="C55" s="11"/>
      <c r="D55" s="11"/>
      <c r="E55" s="12"/>
      <c r="F55" s="13"/>
      <c r="G55" s="11"/>
      <c r="H55" s="14"/>
      <c r="I55" s="11"/>
      <c r="J55" s="15"/>
      <c r="K55" s="16"/>
      <c r="L55" s="16"/>
      <c r="M55" s="15"/>
      <c r="N55" s="15"/>
      <c r="O55" s="17"/>
    </row>
    <row r="56" spans="1:16" ht="15" x14ac:dyDescent="0.35">
      <c r="A56" s="99"/>
      <c r="B56" s="10"/>
      <c r="C56" s="11"/>
      <c r="D56" s="11"/>
      <c r="E56" s="12"/>
      <c r="F56" s="13"/>
      <c r="G56" s="11"/>
      <c r="H56" s="14"/>
      <c r="I56" s="11"/>
      <c r="J56" s="15"/>
      <c r="K56" s="16"/>
      <c r="L56" s="16"/>
      <c r="M56" s="15"/>
      <c r="N56" s="15"/>
      <c r="O56" s="17"/>
    </row>
    <row r="57" spans="1:16" ht="15" x14ac:dyDescent="0.35">
      <c r="A57" s="99"/>
      <c r="B57" s="10">
        <v>2</v>
      </c>
      <c r="C57" s="11"/>
      <c r="D57" s="11"/>
      <c r="E57" s="18">
        <v>16.606000000000002</v>
      </c>
      <c r="F57" s="13" t="s">
        <v>69</v>
      </c>
      <c r="G57" s="11">
        <v>8</v>
      </c>
      <c r="H57" s="14">
        <v>9.51</v>
      </c>
      <c r="I57" s="11">
        <v>100</v>
      </c>
      <c r="J57" s="15">
        <f>I57*H57</f>
        <v>951</v>
      </c>
      <c r="K57" s="16">
        <f>E57-(H57+H58)/5</f>
        <v>14.704000000000002</v>
      </c>
      <c r="L57" s="16">
        <f>K57*86%</f>
        <v>12.645440000000002</v>
      </c>
      <c r="M57" s="15">
        <f>L57*14758</f>
        <v>186621.40352000005</v>
      </c>
      <c r="N57" s="15"/>
      <c r="O57" s="17">
        <f>N57+J57+M57</f>
        <v>187572.40352000005</v>
      </c>
    </row>
    <row r="58" spans="1:16" ht="15" x14ac:dyDescent="0.35">
      <c r="A58" s="99"/>
      <c r="B58" s="10" t="s">
        <v>16</v>
      </c>
      <c r="C58" s="11"/>
      <c r="D58" s="11"/>
      <c r="E58" s="12"/>
      <c r="F58" s="13"/>
      <c r="G58" s="11"/>
      <c r="H58" s="14"/>
      <c r="I58" s="11"/>
      <c r="J58" s="15"/>
      <c r="K58" s="16"/>
      <c r="L58" s="16"/>
      <c r="M58" s="15"/>
      <c r="N58" s="15"/>
      <c r="O58" s="17"/>
    </row>
    <row r="59" spans="1:16" ht="15" x14ac:dyDescent="0.35">
      <c r="A59" s="99"/>
      <c r="B59" s="10"/>
      <c r="C59" s="11"/>
      <c r="D59" s="11"/>
      <c r="E59" s="12"/>
      <c r="F59" s="13"/>
      <c r="G59" s="11"/>
      <c r="H59" s="14"/>
      <c r="I59" s="11"/>
      <c r="J59" s="15"/>
      <c r="K59" s="16"/>
      <c r="L59" s="16"/>
      <c r="M59" s="15"/>
      <c r="N59" s="15"/>
      <c r="O59" s="17"/>
    </row>
    <row r="60" spans="1:16" ht="15" x14ac:dyDescent="0.35">
      <c r="A60" s="99"/>
      <c r="B60" s="10"/>
      <c r="C60" s="11"/>
      <c r="D60" s="11"/>
      <c r="E60" s="12"/>
      <c r="F60" s="13"/>
      <c r="G60" s="11"/>
      <c r="H60" s="14"/>
      <c r="I60" s="11"/>
      <c r="J60" s="15"/>
      <c r="K60" s="16"/>
      <c r="L60" s="16"/>
      <c r="M60" s="15"/>
      <c r="N60" s="15"/>
      <c r="O60" s="17"/>
    </row>
    <row r="61" spans="1:16" ht="16" thickBot="1" x14ac:dyDescent="0.4">
      <c r="A61" s="99"/>
      <c r="B61" s="19"/>
      <c r="C61" s="20"/>
      <c r="D61" s="20"/>
      <c r="E61" s="21"/>
      <c r="F61" s="22"/>
      <c r="G61" s="22"/>
      <c r="H61" s="23"/>
      <c r="I61" s="20"/>
      <c r="J61" s="24"/>
      <c r="K61" s="21"/>
      <c r="L61" s="21"/>
      <c r="M61" s="21"/>
      <c r="N61" s="25"/>
      <c r="O61" s="26"/>
    </row>
    <row r="62" spans="1:16" ht="16" thickBot="1" x14ac:dyDescent="0.4">
      <c r="A62" s="99"/>
      <c r="B62" s="27"/>
      <c r="C62" s="28"/>
      <c r="D62" s="28"/>
      <c r="E62" s="29">
        <f>SUM(E53:E61)</f>
        <v>25.156000000000002</v>
      </c>
      <c r="F62" s="28"/>
      <c r="G62" s="28">
        <f>SUM(G53:G61)</f>
        <v>13</v>
      </c>
      <c r="H62" s="29">
        <f>SUM(H53:H61)</f>
        <v>10.26</v>
      </c>
      <c r="I62" s="28"/>
      <c r="J62" s="30">
        <f t="shared" ref="J62:O62" si="3">SUM(J53:J61)</f>
        <v>1251</v>
      </c>
      <c r="K62" s="29">
        <f t="shared" si="3"/>
        <v>23.104000000000003</v>
      </c>
      <c r="L62" s="53">
        <f t="shared" si="3"/>
        <v>20.373440000000002</v>
      </c>
      <c r="M62" s="31">
        <f t="shared" si="3"/>
        <v>300879.88352000003</v>
      </c>
      <c r="N62" s="31">
        <f t="shared" si="3"/>
        <v>7810.4</v>
      </c>
      <c r="O62" s="32">
        <f t="shared" si="3"/>
        <v>309941.28352000006</v>
      </c>
      <c r="P62" t="s">
        <v>26</v>
      </c>
    </row>
    <row r="63" spans="1:16" ht="15" thickBot="1" x14ac:dyDescent="0.4"/>
    <row r="64" spans="1:16" x14ac:dyDescent="0.35">
      <c r="A64" s="99">
        <v>5</v>
      </c>
      <c r="B64" s="110" t="s">
        <v>0</v>
      </c>
      <c r="C64" s="102" t="s">
        <v>1</v>
      </c>
      <c r="D64" s="102" t="s">
        <v>2</v>
      </c>
      <c r="E64" s="108" t="s">
        <v>3</v>
      </c>
      <c r="F64" s="112" t="s">
        <v>4</v>
      </c>
      <c r="G64" s="113"/>
      <c r="H64" s="113"/>
      <c r="I64" s="113"/>
      <c r="J64" s="114"/>
      <c r="K64" s="102" t="s">
        <v>5</v>
      </c>
      <c r="L64" s="104" t="s">
        <v>6</v>
      </c>
      <c r="M64" s="106" t="s">
        <v>7</v>
      </c>
      <c r="N64" s="108" t="s">
        <v>8</v>
      </c>
      <c r="O64" s="100" t="s">
        <v>9</v>
      </c>
    </row>
    <row r="65" spans="1:15" ht="15" thickBot="1" x14ac:dyDescent="0.4">
      <c r="A65" s="99"/>
      <c r="B65" s="111"/>
      <c r="C65" s="103"/>
      <c r="D65" s="103"/>
      <c r="E65" s="109"/>
      <c r="F65" s="3" t="s">
        <v>10</v>
      </c>
      <c r="G65" s="3" t="s">
        <v>11</v>
      </c>
      <c r="H65" s="3" t="s">
        <v>12</v>
      </c>
      <c r="I65" s="3" t="s">
        <v>13</v>
      </c>
      <c r="J65" s="3" t="s">
        <v>14</v>
      </c>
      <c r="K65" s="103"/>
      <c r="L65" s="105"/>
      <c r="M65" s="107"/>
      <c r="N65" s="109"/>
      <c r="O65" s="101"/>
    </row>
    <row r="66" spans="1:15" ht="15" x14ac:dyDescent="0.35">
      <c r="A66" s="99"/>
      <c r="B66" s="1">
        <v>1</v>
      </c>
      <c r="C66" s="2" t="s">
        <v>91</v>
      </c>
      <c r="D66" s="2"/>
      <c r="E66" s="4">
        <v>5.5</v>
      </c>
      <c r="F66" s="5" t="s">
        <v>19</v>
      </c>
      <c r="G66" s="2">
        <v>56</v>
      </c>
      <c r="H66" s="6">
        <v>0.98</v>
      </c>
      <c r="I66" s="2">
        <v>15000</v>
      </c>
      <c r="J66" s="64">
        <f>I66*H66</f>
        <v>14700</v>
      </c>
      <c r="K66" s="8">
        <f>E66-(H66+H67+H68+H69)/5</f>
        <v>4.4539999999999997</v>
      </c>
      <c r="L66" s="8">
        <f>K66*84%</f>
        <v>3.7413599999999998</v>
      </c>
      <c r="M66" s="7">
        <f>L66*15470</f>
        <v>57878.839199999995</v>
      </c>
      <c r="N66" s="7">
        <f>K66*300</f>
        <v>1336.1999999999998</v>
      </c>
      <c r="O66" s="9">
        <f>N66+J66+M66+J67+J68+J69</f>
        <v>82595.039199999999</v>
      </c>
    </row>
    <row r="67" spans="1:15" ht="15" x14ac:dyDescent="0.35">
      <c r="A67" s="99"/>
      <c r="B67" s="10" t="s">
        <v>16</v>
      </c>
      <c r="C67" s="11"/>
      <c r="D67" s="11"/>
      <c r="E67" s="12"/>
      <c r="F67" s="13" t="s">
        <v>78</v>
      </c>
      <c r="G67" s="11">
        <v>1</v>
      </c>
      <c r="H67" s="14">
        <v>0.32</v>
      </c>
      <c r="I67" s="11">
        <v>12000</v>
      </c>
      <c r="J67" s="15">
        <f>I67*H67</f>
        <v>3840</v>
      </c>
      <c r="K67" s="16"/>
      <c r="L67" s="16"/>
      <c r="M67" s="15"/>
      <c r="N67" s="15"/>
      <c r="O67" s="17"/>
    </row>
    <row r="68" spans="1:15" ht="15" x14ac:dyDescent="0.35">
      <c r="A68" s="99"/>
      <c r="B68" s="10"/>
      <c r="C68" s="11"/>
      <c r="D68" s="11"/>
      <c r="E68" s="12"/>
      <c r="F68" s="13" t="s">
        <v>18</v>
      </c>
      <c r="G68" s="11">
        <v>2</v>
      </c>
      <c r="H68" s="14">
        <v>0.43</v>
      </c>
      <c r="I68" s="11">
        <v>8000</v>
      </c>
      <c r="J68" s="15">
        <f>I68*H68</f>
        <v>3440</v>
      </c>
      <c r="K68" s="16"/>
      <c r="L68" s="16"/>
      <c r="M68" s="15"/>
      <c r="N68" s="15"/>
      <c r="O68" s="17"/>
    </row>
    <row r="69" spans="1:15" ht="15" x14ac:dyDescent="0.35">
      <c r="A69" s="99"/>
      <c r="B69" s="10"/>
      <c r="C69" s="11"/>
      <c r="D69" s="11"/>
      <c r="E69" s="12"/>
      <c r="F69" s="54" t="s">
        <v>44</v>
      </c>
      <c r="G69" s="3">
        <v>8</v>
      </c>
      <c r="H69" s="66">
        <v>3.5</v>
      </c>
      <c r="I69" s="3">
        <v>400</v>
      </c>
      <c r="J69" s="15">
        <f>I69*H69</f>
        <v>1400</v>
      </c>
      <c r="K69" s="57"/>
      <c r="L69" s="57"/>
      <c r="M69" s="56"/>
      <c r="N69" s="56"/>
      <c r="O69" s="58"/>
    </row>
    <row r="70" spans="1:15" ht="15" x14ac:dyDescent="0.35">
      <c r="A70" s="99"/>
      <c r="B70" s="10"/>
      <c r="C70" s="11"/>
      <c r="D70" s="11"/>
      <c r="E70" s="12"/>
      <c r="F70" s="54"/>
      <c r="G70" s="3"/>
      <c r="H70" s="66"/>
      <c r="I70" s="3"/>
      <c r="J70" s="56"/>
      <c r="K70" s="57"/>
      <c r="L70" s="57"/>
      <c r="M70" s="56"/>
      <c r="N70" s="56"/>
      <c r="O70" s="58"/>
    </row>
    <row r="71" spans="1:15" ht="15" x14ac:dyDescent="0.35">
      <c r="A71" s="99"/>
      <c r="B71" s="10"/>
      <c r="C71" s="11"/>
      <c r="D71" s="11"/>
      <c r="E71" s="12"/>
      <c r="F71" s="54"/>
      <c r="G71" s="3"/>
      <c r="H71" s="66"/>
      <c r="I71" s="3"/>
      <c r="J71" s="56"/>
      <c r="K71" s="57"/>
      <c r="L71" s="57"/>
      <c r="M71" s="56"/>
      <c r="N71" s="56"/>
      <c r="O71" s="58"/>
    </row>
    <row r="72" spans="1:15" ht="15" x14ac:dyDescent="0.35">
      <c r="A72" s="99"/>
      <c r="B72" s="10">
        <v>2</v>
      </c>
      <c r="C72" s="11"/>
      <c r="D72" s="11"/>
      <c r="E72" s="18">
        <v>9.51</v>
      </c>
      <c r="F72" s="13" t="s">
        <v>19</v>
      </c>
      <c r="G72" s="11">
        <v>110</v>
      </c>
      <c r="H72" s="14">
        <v>1.21</v>
      </c>
      <c r="I72" s="11">
        <v>15000</v>
      </c>
      <c r="J72" s="15">
        <f>I72*H72</f>
        <v>18150</v>
      </c>
      <c r="K72" s="16">
        <f>E72-(H72+H73+H74+H75)/5-K73</f>
        <v>8.5579999999999998</v>
      </c>
      <c r="L72" s="16">
        <f>K72*84%</f>
        <v>7.18872</v>
      </c>
      <c r="M72" s="15">
        <f>L72*15470</f>
        <v>111209.4984</v>
      </c>
      <c r="N72" s="15">
        <f>K72*300</f>
        <v>2567.4</v>
      </c>
      <c r="O72" s="17">
        <f>N72+J72+M72+J73+J74+J75</f>
        <v>142166.89840000001</v>
      </c>
    </row>
    <row r="73" spans="1:15" ht="15" x14ac:dyDescent="0.35">
      <c r="A73" s="99"/>
      <c r="B73" s="10" t="s">
        <v>16</v>
      </c>
      <c r="C73" s="11"/>
      <c r="D73" s="11"/>
      <c r="E73" s="12"/>
      <c r="F73" s="13" t="s">
        <v>78</v>
      </c>
      <c r="G73" s="11">
        <v>2</v>
      </c>
      <c r="H73" s="14">
        <v>0.4</v>
      </c>
      <c r="I73" s="11">
        <v>12000</v>
      </c>
      <c r="J73" s="15">
        <f>I73*H73</f>
        <v>4800</v>
      </c>
      <c r="K73" s="16"/>
      <c r="L73" s="16"/>
      <c r="M73" s="15"/>
      <c r="N73" s="15"/>
      <c r="O73" s="17"/>
    </row>
    <row r="74" spans="1:15" ht="15" x14ac:dyDescent="0.35">
      <c r="A74" s="99"/>
      <c r="B74" s="10"/>
      <c r="C74" s="11"/>
      <c r="D74" s="11"/>
      <c r="E74" s="12"/>
      <c r="F74" s="13" t="s">
        <v>18</v>
      </c>
      <c r="G74" s="11">
        <v>2</v>
      </c>
      <c r="H74" s="14">
        <v>0.55000000000000004</v>
      </c>
      <c r="I74" s="11">
        <v>8000</v>
      </c>
      <c r="J74" s="15">
        <f>I74*H74</f>
        <v>4400</v>
      </c>
      <c r="K74" s="16"/>
      <c r="L74" s="16"/>
      <c r="M74" s="15"/>
      <c r="N74" s="15"/>
      <c r="O74" s="17"/>
    </row>
    <row r="75" spans="1:15" ht="15" x14ac:dyDescent="0.35">
      <c r="A75" s="99"/>
      <c r="B75" s="10"/>
      <c r="C75" s="11"/>
      <c r="D75" s="11"/>
      <c r="E75" s="12"/>
      <c r="F75" s="13" t="s">
        <v>44</v>
      </c>
      <c r="G75" s="11">
        <v>16</v>
      </c>
      <c r="H75" s="14">
        <v>2.6</v>
      </c>
      <c r="I75" s="11">
        <v>400</v>
      </c>
      <c r="J75" s="15">
        <f>I75*H75</f>
        <v>1040</v>
      </c>
      <c r="K75" s="16"/>
      <c r="L75" s="16"/>
      <c r="M75" s="15"/>
      <c r="N75" s="15"/>
      <c r="O75" s="17"/>
    </row>
    <row r="76" spans="1:15" ht="15" x14ac:dyDescent="0.35">
      <c r="A76" s="99"/>
      <c r="B76" s="55"/>
      <c r="C76" s="3"/>
      <c r="D76" s="3"/>
      <c r="E76" s="59"/>
      <c r="F76" s="54"/>
      <c r="G76" s="3"/>
      <c r="H76" s="66"/>
      <c r="I76" s="3"/>
      <c r="J76" s="56"/>
      <c r="K76" s="57"/>
      <c r="L76" s="57"/>
      <c r="M76" s="56"/>
      <c r="N76" s="56"/>
      <c r="O76" s="58"/>
    </row>
    <row r="77" spans="1:15" ht="15" x14ac:dyDescent="0.35">
      <c r="A77" s="99"/>
      <c r="B77" s="55">
        <v>3</v>
      </c>
      <c r="C77" s="3"/>
      <c r="D77" s="3"/>
      <c r="E77" s="18">
        <f>95.28-45.21</f>
        <v>50.07</v>
      </c>
      <c r="F77" s="13" t="s">
        <v>19</v>
      </c>
      <c r="G77" s="11">
        <v>612</v>
      </c>
      <c r="H77" s="14">
        <v>5.25</v>
      </c>
      <c r="I77" s="11">
        <v>18000</v>
      </c>
      <c r="J77" s="15">
        <f>I77*H77</f>
        <v>94500</v>
      </c>
      <c r="K77" s="16">
        <f>E77-(H77+H78+H79+H80+H81)/5</f>
        <v>21.264000000000006</v>
      </c>
      <c r="L77" s="16">
        <f>K77*88.4%</f>
        <v>18.797376000000007</v>
      </c>
      <c r="M77" s="15">
        <f>L77*14383</f>
        <v>270362.6590080001</v>
      </c>
      <c r="N77" s="15"/>
      <c r="O77" s="17">
        <f>N77+J77+M77+J78+J79+J80+J81</f>
        <v>446952.6590080001</v>
      </c>
    </row>
    <row r="78" spans="1:15" ht="15" x14ac:dyDescent="0.35">
      <c r="A78" s="99"/>
      <c r="B78" s="10" t="s">
        <v>16</v>
      </c>
      <c r="C78" s="3"/>
      <c r="D78" s="3"/>
      <c r="E78" s="12"/>
      <c r="F78" s="13" t="s">
        <v>19</v>
      </c>
      <c r="G78" s="11">
        <v>9</v>
      </c>
      <c r="H78" s="14">
        <v>0.7</v>
      </c>
      <c r="I78" s="11">
        <v>25000</v>
      </c>
      <c r="J78" s="15">
        <f>I78*H78</f>
        <v>17500</v>
      </c>
      <c r="K78" s="16"/>
      <c r="L78" s="16"/>
      <c r="M78" s="15"/>
      <c r="N78" s="15"/>
      <c r="O78" s="17"/>
    </row>
    <row r="79" spans="1:15" ht="15" x14ac:dyDescent="0.35">
      <c r="A79" s="99"/>
      <c r="B79" s="55"/>
      <c r="C79" s="3"/>
      <c r="D79" s="3"/>
      <c r="E79" s="12"/>
      <c r="F79" s="13" t="s">
        <v>18</v>
      </c>
      <c r="G79" s="11">
        <v>32</v>
      </c>
      <c r="H79" s="14">
        <v>4.0599999999999996</v>
      </c>
      <c r="I79" s="11">
        <v>9500</v>
      </c>
      <c r="J79" s="15">
        <f>I79*H79</f>
        <v>38569.999999999993</v>
      </c>
      <c r="K79" s="16"/>
      <c r="L79" s="16"/>
      <c r="M79" s="15"/>
      <c r="N79" s="15"/>
      <c r="O79" s="17"/>
    </row>
    <row r="80" spans="1:15" ht="15" x14ac:dyDescent="0.35">
      <c r="A80" s="99"/>
      <c r="B80" s="55"/>
      <c r="C80" s="3"/>
      <c r="D80" s="3"/>
      <c r="E80" s="12"/>
      <c r="F80" s="13" t="s">
        <v>44</v>
      </c>
      <c r="G80" s="11">
        <v>1</v>
      </c>
      <c r="H80" s="14">
        <v>130.1</v>
      </c>
      <c r="I80" s="11">
        <v>200</v>
      </c>
      <c r="J80" s="15">
        <f>I80*H80</f>
        <v>26020</v>
      </c>
      <c r="K80" s="16"/>
      <c r="L80" s="16"/>
      <c r="M80" s="15"/>
      <c r="N80" s="15"/>
      <c r="O80" s="17"/>
    </row>
    <row r="81" spans="1:16" ht="15" x14ac:dyDescent="0.35">
      <c r="A81" s="99"/>
      <c r="B81" s="55"/>
      <c r="C81" s="3"/>
      <c r="D81" s="3"/>
      <c r="E81" s="59"/>
      <c r="F81" s="54" t="s">
        <v>15</v>
      </c>
      <c r="G81" s="3">
        <v>1</v>
      </c>
      <c r="H81" s="66">
        <v>3.92</v>
      </c>
      <c r="I81" s="3">
        <v>0</v>
      </c>
      <c r="J81" s="56">
        <f>I81*H81</f>
        <v>0</v>
      </c>
      <c r="K81" s="57"/>
      <c r="L81" s="57"/>
      <c r="M81" s="56"/>
      <c r="N81" s="56"/>
      <c r="O81" s="58"/>
    </row>
    <row r="82" spans="1:16" ht="16" thickBot="1" x14ac:dyDescent="0.4">
      <c r="A82" s="99"/>
      <c r="B82" s="19"/>
      <c r="C82" s="20"/>
      <c r="D82" s="20"/>
      <c r="E82" s="21"/>
      <c r="F82" s="22"/>
      <c r="G82" s="22"/>
      <c r="H82" s="23"/>
      <c r="I82" s="20"/>
      <c r="J82" s="24"/>
      <c r="K82" s="21"/>
      <c r="L82" s="21"/>
      <c r="M82" s="21"/>
      <c r="N82" s="25"/>
      <c r="O82" s="26"/>
    </row>
    <row r="83" spans="1:16" ht="16" thickBot="1" x14ac:dyDescent="0.4">
      <c r="A83" s="99"/>
      <c r="B83" s="27"/>
      <c r="C83" s="28"/>
      <c r="D83" s="28"/>
      <c r="E83" s="29">
        <f>SUM(E66:E82)</f>
        <v>65.08</v>
      </c>
      <c r="F83" s="28"/>
      <c r="G83" s="28">
        <f>SUM(G66:G82)</f>
        <v>852</v>
      </c>
      <c r="H83" s="29">
        <f>SUM(H66:H82)</f>
        <v>154.01999999999998</v>
      </c>
      <c r="I83" s="28"/>
      <c r="J83" s="30">
        <f t="shared" ref="J83:O83" si="4">SUM(J66:J82)</f>
        <v>228360</v>
      </c>
      <c r="K83" s="29">
        <f t="shared" si="4"/>
        <v>34.27600000000001</v>
      </c>
      <c r="L83" s="53">
        <f t="shared" si="4"/>
        <v>29.727456000000007</v>
      </c>
      <c r="M83" s="31">
        <f t="shared" si="4"/>
        <v>439450.99660800013</v>
      </c>
      <c r="N83" s="31">
        <f t="shared" si="4"/>
        <v>3903.6</v>
      </c>
      <c r="O83" s="32">
        <f t="shared" si="4"/>
        <v>671714.59660800011</v>
      </c>
      <c r="P83" t="s">
        <v>26</v>
      </c>
    </row>
    <row r="84" spans="1:16" ht="15" thickBot="1" x14ac:dyDescent="0.4"/>
    <row r="85" spans="1:16" x14ac:dyDescent="0.35">
      <c r="A85" s="99">
        <v>6</v>
      </c>
      <c r="B85" s="110" t="s">
        <v>0</v>
      </c>
      <c r="C85" s="102" t="s">
        <v>1</v>
      </c>
      <c r="D85" s="102" t="s">
        <v>2</v>
      </c>
      <c r="E85" s="108" t="s">
        <v>3</v>
      </c>
      <c r="F85" s="112" t="s">
        <v>4</v>
      </c>
      <c r="G85" s="113"/>
      <c r="H85" s="113"/>
      <c r="I85" s="113"/>
      <c r="J85" s="114"/>
      <c r="K85" s="102" t="s">
        <v>5</v>
      </c>
      <c r="L85" s="104" t="s">
        <v>6</v>
      </c>
      <c r="M85" s="106" t="s">
        <v>7</v>
      </c>
      <c r="N85" s="108" t="s">
        <v>8</v>
      </c>
      <c r="O85" s="100" t="s">
        <v>9</v>
      </c>
    </row>
    <row r="86" spans="1:16" ht="15" thickBot="1" x14ac:dyDescent="0.4">
      <c r="A86" s="99"/>
      <c r="B86" s="111"/>
      <c r="C86" s="103"/>
      <c r="D86" s="103"/>
      <c r="E86" s="109"/>
      <c r="F86" s="3" t="s">
        <v>10</v>
      </c>
      <c r="G86" s="3" t="s">
        <v>11</v>
      </c>
      <c r="H86" s="3" t="s">
        <v>12</v>
      </c>
      <c r="I86" s="3" t="s">
        <v>13</v>
      </c>
      <c r="J86" s="3" t="s">
        <v>14</v>
      </c>
      <c r="K86" s="103"/>
      <c r="L86" s="105"/>
      <c r="M86" s="107"/>
      <c r="N86" s="109"/>
      <c r="O86" s="101"/>
    </row>
    <row r="87" spans="1:16" ht="15" x14ac:dyDescent="0.35">
      <c r="A87" s="99"/>
      <c r="B87" s="1">
        <v>1</v>
      </c>
      <c r="C87" s="2" t="s">
        <v>92</v>
      </c>
      <c r="D87" s="2"/>
      <c r="E87" s="4">
        <v>39.5</v>
      </c>
      <c r="F87" s="94" t="s">
        <v>44</v>
      </c>
      <c r="G87" s="63"/>
      <c r="H87" s="92">
        <v>3.6</v>
      </c>
      <c r="I87" s="63">
        <v>100</v>
      </c>
      <c r="J87" s="64">
        <f>I87*H87</f>
        <v>360</v>
      </c>
      <c r="K87" s="8">
        <f>E87-(H87+H88+H89)/5</f>
        <v>32.56</v>
      </c>
      <c r="L87" s="8">
        <f>K87*92%</f>
        <v>29.955200000000005</v>
      </c>
      <c r="M87" s="7">
        <f>L87*14335</f>
        <v>429407.79200000007</v>
      </c>
      <c r="N87" s="7">
        <f>2.2*14200</f>
        <v>31240.000000000004</v>
      </c>
      <c r="O87" s="9">
        <f>N87+J87+M87+J88+J90</f>
        <v>464045.79200000007</v>
      </c>
    </row>
    <row r="88" spans="1:16" ht="15" x14ac:dyDescent="0.35">
      <c r="A88" s="99"/>
      <c r="B88" s="10" t="s">
        <v>21</v>
      </c>
      <c r="C88" s="11"/>
      <c r="D88" s="11"/>
      <c r="E88" s="12"/>
      <c r="F88" s="13" t="s">
        <v>15</v>
      </c>
      <c r="G88" s="11"/>
      <c r="H88" s="14">
        <v>9.3000000000000007</v>
      </c>
      <c r="I88" s="11">
        <v>60</v>
      </c>
      <c r="J88" s="15">
        <f>I88*H88</f>
        <v>558</v>
      </c>
      <c r="K88" s="16"/>
      <c r="L88" s="16"/>
      <c r="M88" s="15"/>
      <c r="N88" s="15"/>
      <c r="O88" s="17"/>
    </row>
    <row r="89" spans="1:16" ht="15" x14ac:dyDescent="0.35">
      <c r="A89" s="99"/>
      <c r="B89" s="10"/>
      <c r="C89" s="11"/>
      <c r="D89" s="11"/>
      <c r="E89" s="12"/>
      <c r="F89" s="13" t="s">
        <v>87</v>
      </c>
      <c r="G89" s="11"/>
      <c r="H89" s="14">
        <f>22.3-0.5</f>
        <v>21.8</v>
      </c>
      <c r="I89" s="11">
        <v>0</v>
      </c>
      <c r="J89" s="15">
        <v>0</v>
      </c>
      <c r="K89" s="16"/>
      <c r="L89" s="16"/>
      <c r="M89" s="15"/>
      <c r="N89" s="15"/>
      <c r="O89" s="17"/>
    </row>
    <row r="90" spans="1:16" ht="15" x14ac:dyDescent="0.35">
      <c r="A90" s="99"/>
      <c r="B90" s="55"/>
      <c r="C90" s="3"/>
      <c r="D90" s="3"/>
      <c r="E90" s="59"/>
      <c r="F90" s="54" t="s">
        <v>94</v>
      </c>
      <c r="G90" s="3">
        <v>31</v>
      </c>
      <c r="H90" s="66"/>
      <c r="I90" s="3">
        <v>80</v>
      </c>
      <c r="J90" s="56">
        <f>I90*G90</f>
        <v>2480</v>
      </c>
      <c r="K90" s="57"/>
      <c r="L90" s="57"/>
      <c r="M90" s="56"/>
      <c r="N90" s="56"/>
      <c r="O90" s="58"/>
    </row>
    <row r="91" spans="1:16" ht="16" thickBot="1" x14ac:dyDescent="0.4">
      <c r="A91" s="99"/>
      <c r="B91" s="19"/>
      <c r="C91" s="20"/>
      <c r="D91" s="20"/>
      <c r="E91" s="21"/>
      <c r="F91" s="22"/>
      <c r="G91" s="22"/>
      <c r="H91" s="23"/>
      <c r="I91" s="20"/>
      <c r="J91" s="24"/>
      <c r="K91" s="21"/>
      <c r="L91" s="21"/>
      <c r="M91" s="21"/>
      <c r="N91" s="25"/>
      <c r="O91" s="26"/>
    </row>
    <row r="92" spans="1:16" ht="16" thickBot="1" x14ac:dyDescent="0.4">
      <c r="A92" s="99"/>
      <c r="B92" s="27"/>
      <c r="C92" s="28"/>
      <c r="D92" s="28"/>
      <c r="E92" s="29">
        <f>SUM(E87:E91)</f>
        <v>39.5</v>
      </c>
      <c r="F92" s="28"/>
      <c r="G92" s="28">
        <f>SUM(G87:G91)</f>
        <v>31</v>
      </c>
      <c r="H92" s="29">
        <f>SUM(H87:H91)</f>
        <v>34.700000000000003</v>
      </c>
      <c r="I92" s="28"/>
      <c r="J92" s="30">
        <f t="shared" ref="J92:O92" si="5">SUM(J87:J91)</f>
        <v>3398</v>
      </c>
      <c r="K92" s="29">
        <f t="shared" si="5"/>
        <v>32.56</v>
      </c>
      <c r="L92" s="53">
        <f t="shared" si="5"/>
        <v>29.955200000000005</v>
      </c>
      <c r="M92" s="31">
        <f t="shared" si="5"/>
        <v>429407.79200000007</v>
      </c>
      <c r="N92" s="31">
        <f t="shared" si="5"/>
        <v>31240.000000000004</v>
      </c>
      <c r="O92" s="32">
        <f t="shared" si="5"/>
        <v>464045.79200000007</v>
      </c>
      <c r="P92" t="s">
        <v>26</v>
      </c>
    </row>
    <row r="93" spans="1:16" ht="15" thickBot="1" x14ac:dyDescent="0.4"/>
    <row r="94" spans="1:16" x14ac:dyDescent="0.35">
      <c r="A94" s="99">
        <v>7</v>
      </c>
      <c r="B94" s="110" t="s">
        <v>0</v>
      </c>
      <c r="C94" s="102" t="s">
        <v>1</v>
      </c>
      <c r="D94" s="102" t="s">
        <v>2</v>
      </c>
      <c r="E94" s="108" t="s">
        <v>3</v>
      </c>
      <c r="F94" s="102" t="s">
        <v>4</v>
      </c>
      <c r="G94" s="102"/>
      <c r="H94" s="102"/>
      <c r="I94" s="102"/>
      <c r="J94" s="102"/>
      <c r="K94" s="102" t="s">
        <v>5</v>
      </c>
      <c r="L94" s="104" t="s">
        <v>6</v>
      </c>
      <c r="M94" s="106" t="s">
        <v>7</v>
      </c>
      <c r="N94" s="108" t="s">
        <v>8</v>
      </c>
      <c r="O94" s="100" t="s">
        <v>9</v>
      </c>
    </row>
    <row r="95" spans="1:16" ht="15" thickBot="1" x14ac:dyDescent="0.4">
      <c r="A95" s="99"/>
      <c r="B95" s="111"/>
      <c r="C95" s="103"/>
      <c r="D95" s="103"/>
      <c r="E95" s="109"/>
      <c r="F95" s="3" t="s">
        <v>10</v>
      </c>
      <c r="G95" s="3" t="s">
        <v>11</v>
      </c>
      <c r="H95" s="3" t="s">
        <v>12</v>
      </c>
      <c r="I95" s="3" t="s">
        <v>13</v>
      </c>
      <c r="J95" s="3" t="s">
        <v>14</v>
      </c>
      <c r="K95" s="103"/>
      <c r="L95" s="105"/>
      <c r="M95" s="107"/>
      <c r="N95" s="109"/>
      <c r="O95" s="101"/>
    </row>
    <row r="96" spans="1:16" ht="15" x14ac:dyDescent="0.35">
      <c r="A96" s="99"/>
      <c r="B96" s="1">
        <v>1</v>
      </c>
      <c r="C96" s="2" t="s">
        <v>98</v>
      </c>
      <c r="D96" s="88"/>
      <c r="E96" s="4">
        <v>0.66</v>
      </c>
      <c r="F96" s="5"/>
      <c r="G96" s="2">
        <v>0</v>
      </c>
      <c r="H96" s="37">
        <v>0</v>
      </c>
      <c r="I96" s="2">
        <v>0</v>
      </c>
      <c r="J96" s="7">
        <f>I96*H96</f>
        <v>0</v>
      </c>
      <c r="K96" s="8">
        <f>E96-(H96+H97)/5</f>
        <v>0.66</v>
      </c>
      <c r="L96" s="8">
        <f>K96*82%</f>
        <v>0.54120000000000001</v>
      </c>
      <c r="M96" s="7">
        <f>L96*14432</f>
        <v>7810.5983999999999</v>
      </c>
      <c r="N96" s="7"/>
      <c r="O96" s="9">
        <f>N96+M96+J96+J97</f>
        <v>7810.5983999999999</v>
      </c>
    </row>
    <row r="97" spans="1:15" ht="15" x14ac:dyDescent="0.35">
      <c r="A97" s="99"/>
      <c r="B97" s="10" t="s">
        <v>63</v>
      </c>
      <c r="C97" s="11"/>
      <c r="D97" s="80"/>
      <c r="E97" s="12"/>
      <c r="F97" s="13"/>
      <c r="G97" s="11"/>
      <c r="H97" s="44"/>
      <c r="I97" s="11"/>
      <c r="J97" s="15"/>
      <c r="K97" s="16"/>
      <c r="L97" s="16"/>
      <c r="M97" s="15"/>
      <c r="N97" s="15"/>
      <c r="O97" s="17"/>
    </row>
    <row r="98" spans="1:15" ht="15" x14ac:dyDescent="0.35">
      <c r="A98" s="99"/>
      <c r="B98" s="10"/>
      <c r="C98" s="11"/>
      <c r="D98" s="80"/>
      <c r="E98" s="12"/>
      <c r="F98" s="13"/>
      <c r="G98" s="11"/>
      <c r="H98" s="44"/>
      <c r="I98" s="11"/>
      <c r="J98" s="15"/>
      <c r="K98" s="16"/>
      <c r="L98" s="16"/>
      <c r="M98" s="15"/>
      <c r="N98" s="15"/>
      <c r="O98" s="17"/>
    </row>
    <row r="99" spans="1:15" ht="15" x14ac:dyDescent="0.35">
      <c r="A99" s="99"/>
      <c r="B99" s="10"/>
      <c r="C99" s="11"/>
      <c r="D99" s="80"/>
      <c r="E99" s="12"/>
      <c r="F99" s="13"/>
      <c r="G99" s="11"/>
      <c r="H99" s="44"/>
      <c r="I99" s="11"/>
      <c r="J99" s="15"/>
      <c r="K99" s="16"/>
      <c r="L99" s="16"/>
      <c r="M99" s="15"/>
      <c r="N99" s="15"/>
      <c r="O99" s="17"/>
    </row>
    <row r="100" spans="1:15" ht="15" x14ac:dyDescent="0.35">
      <c r="A100" s="99"/>
      <c r="B100" s="10"/>
      <c r="C100" s="11"/>
      <c r="D100" s="80"/>
      <c r="E100" s="18"/>
      <c r="F100" s="13"/>
      <c r="G100" s="11"/>
      <c r="H100" s="14"/>
      <c r="I100" s="11"/>
      <c r="J100" s="15"/>
      <c r="K100" s="16"/>
      <c r="L100" s="16"/>
      <c r="M100" s="15"/>
      <c r="N100" s="15"/>
      <c r="O100" s="17"/>
    </row>
    <row r="101" spans="1:15" ht="15" x14ac:dyDescent="0.35">
      <c r="A101" s="99"/>
      <c r="B101" s="10">
        <v>2</v>
      </c>
      <c r="C101" s="11"/>
      <c r="D101" s="80"/>
      <c r="E101" s="18">
        <v>54.42</v>
      </c>
      <c r="F101" s="13"/>
      <c r="G101" s="11">
        <v>0</v>
      </c>
      <c r="H101" s="44">
        <v>3.68</v>
      </c>
      <c r="I101" s="11">
        <v>40000</v>
      </c>
      <c r="J101" s="15">
        <f>I101*H101</f>
        <v>147200</v>
      </c>
      <c r="K101" s="16">
        <f>E101-(H101+H102)/5</f>
        <v>53.684000000000005</v>
      </c>
      <c r="L101" s="16">
        <f>K101*98%</f>
        <v>52.610320000000002</v>
      </c>
      <c r="M101" s="15">
        <f>L101*14432</f>
        <v>759272.13824</v>
      </c>
      <c r="N101" s="15">
        <f>1.074*14600</f>
        <v>15680.400000000001</v>
      </c>
      <c r="O101" s="17">
        <f>N101+M101+J101+J102</f>
        <v>922152.53824000002</v>
      </c>
    </row>
    <row r="102" spans="1:15" ht="15" x14ac:dyDescent="0.35">
      <c r="A102" s="99"/>
      <c r="B102" s="10" t="s">
        <v>21</v>
      </c>
      <c r="C102" s="11"/>
      <c r="D102" s="80"/>
      <c r="E102" s="12"/>
      <c r="F102" s="13"/>
      <c r="G102" s="11"/>
      <c r="H102" s="14"/>
      <c r="I102" s="11"/>
      <c r="J102" s="15"/>
      <c r="K102" s="16"/>
      <c r="L102" s="16"/>
      <c r="M102" s="15"/>
      <c r="N102" s="15"/>
      <c r="O102" s="17"/>
    </row>
    <row r="103" spans="1:15" ht="15" x14ac:dyDescent="0.35">
      <c r="A103" s="99"/>
      <c r="B103" s="10"/>
      <c r="C103" s="11"/>
      <c r="D103" s="80"/>
      <c r="E103" s="12"/>
      <c r="F103" s="13"/>
      <c r="G103" s="11"/>
      <c r="H103" s="44"/>
      <c r="I103" s="11"/>
      <c r="J103" s="15"/>
      <c r="K103" s="16"/>
      <c r="L103" s="16"/>
      <c r="M103" s="15"/>
      <c r="N103" s="15"/>
      <c r="O103" s="17"/>
    </row>
    <row r="104" spans="1:15" ht="16" thickBot="1" x14ac:dyDescent="0.4">
      <c r="A104" s="99"/>
      <c r="B104" s="19"/>
      <c r="C104" s="20"/>
      <c r="D104" s="20"/>
      <c r="E104" s="21"/>
      <c r="F104" s="22"/>
      <c r="G104" s="22"/>
      <c r="H104" s="23"/>
      <c r="I104" s="20"/>
      <c r="J104" s="24"/>
      <c r="K104" s="21"/>
      <c r="L104" s="21"/>
      <c r="M104" s="21"/>
      <c r="N104" s="25"/>
      <c r="O104" s="26"/>
    </row>
    <row r="105" spans="1:15" ht="16" thickBot="1" x14ac:dyDescent="0.4">
      <c r="A105" s="99"/>
      <c r="B105" s="27"/>
      <c r="C105" s="28"/>
      <c r="D105" s="28"/>
      <c r="E105" s="29">
        <f>SUM(E96:E104)</f>
        <v>55.08</v>
      </c>
      <c r="F105" s="28"/>
      <c r="G105" s="28">
        <f>SUM(G96:G104)</f>
        <v>0</v>
      </c>
      <c r="H105" s="29">
        <f>SUM(H96:H104)</f>
        <v>3.68</v>
      </c>
      <c r="I105" s="28"/>
      <c r="J105" s="30">
        <f t="shared" ref="J105:O105" si="6">SUM(J96:J104)</f>
        <v>147200</v>
      </c>
      <c r="K105" s="29">
        <f t="shared" si="6"/>
        <v>54.344000000000001</v>
      </c>
      <c r="L105" s="29">
        <f t="shared" si="6"/>
        <v>53.151520000000005</v>
      </c>
      <c r="M105" s="30">
        <f t="shared" si="6"/>
        <v>767082.73664000002</v>
      </c>
      <c r="N105" s="31">
        <f t="shared" si="6"/>
        <v>15680.400000000001</v>
      </c>
      <c r="O105" s="32">
        <f t="shared" si="6"/>
        <v>929963.13664000004</v>
      </c>
    </row>
    <row r="106" spans="1:15" ht="13.5" customHeight="1" thickBot="1" x14ac:dyDescent="0.4">
      <c r="A106" s="84"/>
      <c r="B106" s="85"/>
      <c r="C106" s="85"/>
      <c r="D106" s="85"/>
      <c r="E106" s="86"/>
      <c r="F106" s="85"/>
      <c r="G106" s="85"/>
      <c r="H106" s="86"/>
      <c r="I106" s="85"/>
      <c r="J106" s="87"/>
      <c r="K106" s="86"/>
      <c r="L106" s="86"/>
      <c r="M106" s="87"/>
      <c r="N106" s="87"/>
      <c r="O106" s="96"/>
    </row>
    <row r="107" spans="1:15" x14ac:dyDescent="0.35">
      <c r="A107" s="99">
        <v>8</v>
      </c>
      <c r="B107" s="110" t="s">
        <v>0</v>
      </c>
      <c r="C107" s="102" t="s">
        <v>1</v>
      </c>
      <c r="D107" s="102" t="s">
        <v>2</v>
      </c>
      <c r="E107" s="108" t="s">
        <v>3</v>
      </c>
      <c r="F107" s="102" t="s">
        <v>4</v>
      </c>
      <c r="G107" s="102"/>
      <c r="H107" s="102"/>
      <c r="I107" s="102"/>
      <c r="J107" s="102"/>
      <c r="K107" s="102" t="s">
        <v>5</v>
      </c>
      <c r="L107" s="104" t="s">
        <v>6</v>
      </c>
      <c r="M107" s="106" t="s">
        <v>7</v>
      </c>
      <c r="N107" s="108" t="s">
        <v>8</v>
      </c>
      <c r="O107" s="100" t="s">
        <v>9</v>
      </c>
    </row>
    <row r="108" spans="1:15" ht="15" thickBot="1" x14ac:dyDescent="0.4">
      <c r="A108" s="99"/>
      <c r="B108" s="111"/>
      <c r="C108" s="103"/>
      <c r="D108" s="103"/>
      <c r="E108" s="109"/>
      <c r="F108" s="3" t="s">
        <v>10</v>
      </c>
      <c r="G108" s="3" t="s">
        <v>11</v>
      </c>
      <c r="H108" s="3" t="s">
        <v>12</v>
      </c>
      <c r="I108" s="3" t="s">
        <v>13</v>
      </c>
      <c r="J108" s="3" t="s">
        <v>14</v>
      </c>
      <c r="K108" s="103"/>
      <c r="L108" s="105"/>
      <c r="M108" s="107"/>
      <c r="N108" s="109"/>
      <c r="O108" s="101"/>
    </row>
    <row r="109" spans="1:15" ht="15" x14ac:dyDescent="0.35">
      <c r="A109" s="99"/>
      <c r="B109" s="1">
        <v>1</v>
      </c>
      <c r="C109" s="2" t="s">
        <v>99</v>
      </c>
      <c r="D109" s="88"/>
      <c r="E109" s="4">
        <v>18.02</v>
      </c>
      <c r="F109" s="94" t="s">
        <v>103</v>
      </c>
      <c r="G109" s="63">
        <v>32</v>
      </c>
      <c r="H109" s="92">
        <v>0.65</v>
      </c>
      <c r="I109" s="63">
        <v>9500</v>
      </c>
      <c r="J109" s="64">
        <f>I109*H109</f>
        <v>6175</v>
      </c>
      <c r="K109" s="91">
        <f>E109-(H109+H110+H111+H112+H113)/5</f>
        <v>14.852</v>
      </c>
      <c r="L109" s="8">
        <f>K109*70%</f>
        <v>10.3964</v>
      </c>
      <c r="M109" s="7">
        <f>L109*15200</f>
        <v>158025.28</v>
      </c>
      <c r="N109" s="7">
        <f>K109*300</f>
        <v>4455.6000000000004</v>
      </c>
      <c r="O109" s="9">
        <f>N109+J109+M109+J110+J111+J112+J113</f>
        <v>183972.68</v>
      </c>
    </row>
    <row r="110" spans="1:15" ht="15" x14ac:dyDescent="0.35">
      <c r="A110" s="99"/>
      <c r="B110" s="10" t="s">
        <v>105</v>
      </c>
      <c r="C110" s="11"/>
      <c r="D110" s="80"/>
      <c r="E110" s="12"/>
      <c r="F110" s="13" t="s">
        <v>102</v>
      </c>
      <c r="G110" s="11">
        <v>45</v>
      </c>
      <c r="H110" s="14">
        <v>1.7</v>
      </c>
      <c r="I110" s="11">
        <v>8000</v>
      </c>
      <c r="J110" s="15">
        <f>I110*H110</f>
        <v>13600</v>
      </c>
      <c r="K110" s="16"/>
      <c r="L110" s="16"/>
      <c r="M110" s="15"/>
      <c r="N110" s="15"/>
      <c r="O110" s="17"/>
    </row>
    <row r="111" spans="1:15" ht="15" x14ac:dyDescent="0.35">
      <c r="A111" s="99"/>
      <c r="B111" s="10"/>
      <c r="C111" s="11"/>
      <c r="D111" s="80"/>
      <c r="E111" s="12"/>
      <c r="F111" s="13" t="s">
        <v>100</v>
      </c>
      <c r="G111" s="11">
        <v>3</v>
      </c>
      <c r="H111" s="14">
        <v>3.8</v>
      </c>
      <c r="I111" s="11">
        <v>150</v>
      </c>
      <c r="J111" s="15">
        <f>I111*H111</f>
        <v>570</v>
      </c>
      <c r="K111" s="16"/>
      <c r="L111" s="16"/>
      <c r="M111" s="15"/>
      <c r="N111" s="15"/>
      <c r="O111" s="17"/>
    </row>
    <row r="112" spans="1:15" ht="15" x14ac:dyDescent="0.35">
      <c r="A112" s="99"/>
      <c r="B112" s="10"/>
      <c r="C112" s="11"/>
      <c r="D112" s="80"/>
      <c r="E112" s="12"/>
      <c r="F112" s="13" t="s">
        <v>104</v>
      </c>
      <c r="G112" s="11">
        <v>7</v>
      </c>
      <c r="H112" s="14">
        <v>8.89</v>
      </c>
      <c r="I112" s="11">
        <v>120</v>
      </c>
      <c r="J112" s="15">
        <f>I112*H112</f>
        <v>1066.8000000000002</v>
      </c>
      <c r="K112" s="16"/>
      <c r="L112" s="57"/>
      <c r="M112" s="56"/>
      <c r="N112" s="56"/>
      <c r="O112" s="58"/>
    </row>
    <row r="113" spans="1:16" ht="15" x14ac:dyDescent="0.35">
      <c r="A113" s="99"/>
      <c r="B113" s="10"/>
      <c r="C113" s="11"/>
      <c r="D113" s="80"/>
      <c r="E113" s="18"/>
      <c r="F113" s="13" t="s">
        <v>104</v>
      </c>
      <c r="G113" s="11">
        <v>21</v>
      </c>
      <c r="H113" s="14">
        <v>0.8</v>
      </c>
      <c r="I113" s="11">
        <v>100</v>
      </c>
      <c r="J113" s="15">
        <f>I113*H113</f>
        <v>80</v>
      </c>
      <c r="K113" s="16"/>
      <c r="L113" s="16"/>
      <c r="M113" s="15"/>
      <c r="N113" s="15"/>
      <c r="O113" s="17"/>
    </row>
    <row r="114" spans="1:16" ht="15" x14ac:dyDescent="0.35">
      <c r="A114" s="99"/>
      <c r="B114" s="10"/>
      <c r="C114" s="11"/>
      <c r="D114" s="80"/>
      <c r="E114" s="18"/>
      <c r="F114" s="13"/>
      <c r="G114" s="11"/>
      <c r="H114" s="44"/>
      <c r="I114" s="11"/>
      <c r="J114" s="15"/>
      <c r="K114" s="16"/>
      <c r="L114" s="16"/>
      <c r="M114" s="15"/>
      <c r="N114" s="15"/>
      <c r="O114" s="17"/>
    </row>
    <row r="115" spans="1:16" ht="16" thickBot="1" x14ac:dyDescent="0.4">
      <c r="A115" s="99"/>
      <c r="B115" s="19"/>
      <c r="C115" s="20"/>
      <c r="D115" s="20"/>
      <c r="E115" s="21"/>
      <c r="F115" s="22"/>
      <c r="G115" s="22"/>
      <c r="H115" s="23"/>
      <c r="I115" s="20"/>
      <c r="J115" s="24"/>
      <c r="K115" s="21"/>
      <c r="L115" s="21"/>
      <c r="M115" s="21"/>
      <c r="N115" s="25"/>
      <c r="O115" s="26"/>
    </row>
    <row r="116" spans="1:16" ht="16" thickBot="1" x14ac:dyDescent="0.4">
      <c r="A116" s="99"/>
      <c r="B116" s="27"/>
      <c r="C116" s="28"/>
      <c r="D116" s="28"/>
      <c r="E116" s="29">
        <f>SUM(E109:E115)</f>
        <v>18.02</v>
      </c>
      <c r="F116" s="28"/>
      <c r="G116" s="28">
        <f>SUM(G109:G115)</f>
        <v>108</v>
      </c>
      <c r="H116" s="29">
        <f>SUM(H109:H115)</f>
        <v>15.840000000000002</v>
      </c>
      <c r="I116" s="28"/>
      <c r="J116" s="30">
        <f t="shared" ref="J116:O116" si="7">SUM(J109:J115)</f>
        <v>21491.8</v>
      </c>
      <c r="K116" s="29">
        <f t="shared" si="7"/>
        <v>14.852</v>
      </c>
      <c r="L116" s="29">
        <f t="shared" si="7"/>
        <v>10.3964</v>
      </c>
      <c r="M116" s="30">
        <f t="shared" si="7"/>
        <v>158025.28</v>
      </c>
      <c r="N116" s="31">
        <f t="shared" si="7"/>
        <v>4455.6000000000004</v>
      </c>
      <c r="O116" s="32">
        <f t="shared" si="7"/>
        <v>183972.68</v>
      </c>
      <c r="P116" t="s">
        <v>26</v>
      </c>
    </row>
    <row r="117" spans="1:16" ht="15" thickBot="1" x14ac:dyDescent="0.4"/>
    <row r="118" spans="1:16" x14ac:dyDescent="0.35">
      <c r="A118" s="99">
        <v>9</v>
      </c>
      <c r="B118" s="110" t="s">
        <v>0</v>
      </c>
      <c r="C118" s="102" t="s">
        <v>1</v>
      </c>
      <c r="D118" s="102" t="s">
        <v>2</v>
      </c>
      <c r="E118" s="108" t="s">
        <v>3</v>
      </c>
      <c r="F118" s="112" t="s">
        <v>4</v>
      </c>
      <c r="G118" s="113"/>
      <c r="H118" s="113"/>
      <c r="I118" s="113"/>
      <c r="J118" s="114"/>
      <c r="K118" s="102" t="s">
        <v>5</v>
      </c>
      <c r="L118" s="104" t="s">
        <v>6</v>
      </c>
      <c r="M118" s="106" t="s">
        <v>7</v>
      </c>
      <c r="N118" s="108" t="s">
        <v>8</v>
      </c>
      <c r="O118" s="100" t="s">
        <v>9</v>
      </c>
    </row>
    <row r="119" spans="1:16" ht="15" thickBot="1" x14ac:dyDescent="0.4">
      <c r="A119" s="99"/>
      <c r="B119" s="111"/>
      <c r="C119" s="103"/>
      <c r="D119" s="103"/>
      <c r="E119" s="109"/>
      <c r="F119" s="3" t="s">
        <v>10</v>
      </c>
      <c r="G119" s="3" t="s">
        <v>11</v>
      </c>
      <c r="H119" s="3" t="s">
        <v>12</v>
      </c>
      <c r="I119" s="3" t="s">
        <v>13</v>
      </c>
      <c r="J119" s="3" t="s">
        <v>14</v>
      </c>
      <c r="K119" s="103"/>
      <c r="L119" s="105"/>
      <c r="M119" s="107"/>
      <c r="N119" s="109"/>
      <c r="O119" s="101"/>
    </row>
    <row r="120" spans="1:16" ht="15" x14ac:dyDescent="0.35">
      <c r="A120" s="99"/>
      <c r="B120" s="1">
        <v>1</v>
      </c>
      <c r="C120" s="2" t="s">
        <v>110</v>
      </c>
      <c r="D120" s="2"/>
      <c r="E120" s="4">
        <v>8.9</v>
      </c>
      <c r="F120" s="5" t="s">
        <v>87</v>
      </c>
      <c r="G120" s="2">
        <v>1</v>
      </c>
      <c r="H120" s="6">
        <v>8.18</v>
      </c>
      <c r="I120" s="2">
        <v>0</v>
      </c>
      <c r="J120" s="7">
        <f>I120*H120</f>
        <v>0</v>
      </c>
      <c r="K120" s="8">
        <f>E120-(H120+H121)/5</f>
        <v>7.2640000000000002</v>
      </c>
      <c r="L120" s="8">
        <f>K120*95%</f>
        <v>6.9008000000000003</v>
      </c>
      <c r="M120" s="7">
        <f>L120*14432</f>
        <v>99592.345600000001</v>
      </c>
      <c r="N120" s="7">
        <f>K120*483</f>
        <v>3508.5120000000002</v>
      </c>
      <c r="O120" s="9">
        <f>N120+J120+M120</f>
        <v>103100.8576</v>
      </c>
    </row>
    <row r="121" spans="1:16" ht="15" x14ac:dyDescent="0.35">
      <c r="A121" s="99"/>
      <c r="B121" s="10" t="s">
        <v>21</v>
      </c>
      <c r="C121" s="11"/>
      <c r="D121" s="11"/>
      <c r="E121" s="12"/>
      <c r="F121" s="13"/>
      <c r="G121" s="11"/>
      <c r="H121" s="14"/>
      <c r="I121" s="11"/>
      <c r="J121" s="15"/>
      <c r="K121" s="16"/>
      <c r="L121" s="16"/>
      <c r="M121" s="15"/>
      <c r="N121" s="15"/>
      <c r="O121" s="17"/>
    </row>
    <row r="122" spans="1:16" ht="15" x14ac:dyDescent="0.35">
      <c r="A122" s="99"/>
      <c r="B122" s="10"/>
      <c r="C122" s="11"/>
      <c r="D122" s="11"/>
      <c r="E122" s="12"/>
      <c r="F122" s="13"/>
      <c r="G122" s="11"/>
      <c r="H122" s="14"/>
      <c r="I122" s="11"/>
      <c r="J122" s="15"/>
      <c r="K122" s="16"/>
      <c r="L122" s="16"/>
      <c r="M122" s="15"/>
      <c r="N122" s="15"/>
      <c r="O122" s="17"/>
    </row>
    <row r="123" spans="1:16" ht="15" x14ac:dyDescent="0.35">
      <c r="A123" s="99"/>
      <c r="B123" s="10"/>
      <c r="C123" s="11"/>
      <c r="D123" s="11"/>
      <c r="E123" s="12"/>
      <c r="F123" s="13"/>
      <c r="G123" s="11"/>
      <c r="H123" s="14"/>
      <c r="I123" s="11"/>
      <c r="J123" s="15"/>
      <c r="K123" s="16"/>
      <c r="L123" s="16"/>
      <c r="M123" s="56"/>
      <c r="N123" s="56"/>
      <c r="O123" s="17"/>
    </row>
    <row r="124" spans="1:16" ht="15" x14ac:dyDescent="0.35">
      <c r="A124" s="99"/>
      <c r="B124" s="10">
        <v>2</v>
      </c>
      <c r="C124" s="11"/>
      <c r="D124" s="11"/>
      <c r="E124" s="18">
        <f>11.02-1.69</f>
        <v>9.33</v>
      </c>
      <c r="F124" s="13"/>
      <c r="G124" s="11"/>
      <c r="H124" s="14"/>
      <c r="I124" s="11"/>
      <c r="J124" s="15"/>
      <c r="K124" s="16">
        <f>E124-(H124+H125)/5</f>
        <v>9.33</v>
      </c>
      <c r="L124" s="16">
        <f>K124*81%</f>
        <v>7.5573000000000006</v>
      </c>
      <c r="M124" s="15">
        <f>L124*14432</f>
        <v>109066.95360000001</v>
      </c>
      <c r="N124" s="15">
        <f>K124*483</f>
        <v>4506.3900000000003</v>
      </c>
      <c r="O124" s="17">
        <f>N124+J124+M124</f>
        <v>113573.34360000001</v>
      </c>
    </row>
    <row r="125" spans="1:16" ht="15" x14ac:dyDescent="0.35">
      <c r="A125" s="99"/>
      <c r="B125" s="10" t="s">
        <v>16</v>
      </c>
      <c r="C125" s="11"/>
      <c r="D125" s="11"/>
      <c r="E125" s="12"/>
      <c r="F125" s="13"/>
      <c r="G125" s="11"/>
      <c r="H125" s="14"/>
      <c r="I125" s="11"/>
      <c r="J125" s="15"/>
      <c r="K125" s="16"/>
      <c r="L125" s="16"/>
      <c r="M125" s="15"/>
      <c r="N125" s="15"/>
      <c r="O125" s="17"/>
    </row>
    <row r="126" spans="1:16" ht="15" x14ac:dyDescent="0.35">
      <c r="A126" s="99"/>
      <c r="B126" s="10"/>
      <c r="C126" s="11"/>
      <c r="D126" s="11"/>
      <c r="E126" s="12"/>
      <c r="F126" s="13"/>
      <c r="G126" s="11"/>
      <c r="H126" s="14"/>
      <c r="I126" s="11"/>
      <c r="J126" s="15"/>
      <c r="K126" s="16"/>
      <c r="L126" s="16"/>
      <c r="M126" s="15"/>
      <c r="N126" s="15"/>
      <c r="O126" s="17"/>
    </row>
    <row r="127" spans="1:16" ht="15" x14ac:dyDescent="0.35">
      <c r="A127" s="99"/>
      <c r="B127" s="55"/>
      <c r="C127" s="3"/>
      <c r="D127" s="3"/>
      <c r="E127" s="59"/>
      <c r="F127" s="54"/>
      <c r="G127" s="3"/>
      <c r="H127" s="66"/>
      <c r="I127" s="3"/>
      <c r="J127" s="56"/>
      <c r="K127" s="57"/>
      <c r="L127" s="57"/>
      <c r="M127" s="56"/>
      <c r="N127" s="56"/>
      <c r="O127" s="58"/>
    </row>
    <row r="128" spans="1:16" ht="15" x14ac:dyDescent="0.35">
      <c r="A128" s="99"/>
      <c r="B128" s="10">
        <v>3</v>
      </c>
      <c r="C128" s="11"/>
      <c r="D128" s="11"/>
      <c r="E128" s="18">
        <f>5.5-4.8</f>
        <v>0.70000000000000018</v>
      </c>
      <c r="F128" s="13" t="s">
        <v>24</v>
      </c>
      <c r="G128" s="11">
        <v>12</v>
      </c>
      <c r="H128" s="14">
        <v>0.09</v>
      </c>
      <c r="I128" s="11">
        <v>40000</v>
      </c>
      <c r="J128" s="15">
        <f>I128*H128</f>
        <v>3600</v>
      </c>
      <c r="K128" s="16">
        <f>E128-(H128+H129)/5</f>
        <v>0.68200000000000016</v>
      </c>
      <c r="L128" s="16">
        <f>K128*81%</f>
        <v>0.55242000000000013</v>
      </c>
      <c r="M128" s="15">
        <f>L128*14432</f>
        <v>7972.5254400000022</v>
      </c>
      <c r="N128" s="15">
        <f>K128*483+500</f>
        <v>829.40600000000006</v>
      </c>
      <c r="O128" s="17">
        <f>N128+J128+M128</f>
        <v>12401.931440000002</v>
      </c>
    </row>
    <row r="129" spans="1:15" ht="15" x14ac:dyDescent="0.35">
      <c r="A129" s="99"/>
      <c r="B129" s="10" t="s">
        <v>16</v>
      </c>
      <c r="C129" s="11"/>
      <c r="D129" s="11"/>
      <c r="E129" s="12"/>
      <c r="F129" s="13"/>
      <c r="G129" s="11"/>
      <c r="H129" s="14"/>
      <c r="I129" s="11"/>
      <c r="J129" s="15"/>
      <c r="K129" s="16"/>
      <c r="L129" s="16"/>
      <c r="M129" s="15"/>
      <c r="N129" s="15"/>
      <c r="O129" s="17"/>
    </row>
    <row r="130" spans="1:15" ht="15" x14ac:dyDescent="0.35">
      <c r="A130" s="99"/>
      <c r="B130" s="10"/>
      <c r="C130" s="11"/>
      <c r="D130" s="11"/>
      <c r="E130" s="12"/>
      <c r="F130" s="13"/>
      <c r="G130" s="11"/>
      <c r="H130" s="14"/>
      <c r="I130" s="11"/>
      <c r="J130" s="15"/>
      <c r="K130" s="16"/>
      <c r="L130" s="16"/>
      <c r="M130" s="15"/>
      <c r="N130" s="56"/>
      <c r="O130" s="17"/>
    </row>
    <row r="131" spans="1:15" ht="15" x14ac:dyDescent="0.35">
      <c r="A131" s="99"/>
      <c r="B131" s="55">
        <v>4</v>
      </c>
      <c r="C131" s="3" t="s">
        <v>109</v>
      </c>
      <c r="D131" s="3"/>
      <c r="E131" s="18">
        <f>31.43-29.274</f>
        <v>2.1559999999999988</v>
      </c>
      <c r="F131" s="13" t="s">
        <v>24</v>
      </c>
      <c r="G131" s="11">
        <v>101</v>
      </c>
      <c r="H131" s="14">
        <v>0.47</v>
      </c>
      <c r="I131" s="11">
        <v>40000</v>
      </c>
      <c r="J131" s="15">
        <f>I131*H131</f>
        <v>18800</v>
      </c>
      <c r="K131" s="16">
        <f>E131-(H131+H132)/5</f>
        <v>1.9959999999999989</v>
      </c>
      <c r="L131" s="16">
        <f>K131*81%</f>
        <v>1.6167599999999993</v>
      </c>
      <c r="M131" s="15">
        <f>L131*14432</f>
        <v>23333.08031999999</v>
      </c>
      <c r="N131" s="15">
        <f>K131*483+500</f>
        <v>1464.0679999999993</v>
      </c>
      <c r="O131" s="17">
        <f>N131+J131+M131+J132</f>
        <v>43663.148319999993</v>
      </c>
    </row>
    <row r="132" spans="1:15" ht="15" x14ac:dyDescent="0.35">
      <c r="A132" s="99"/>
      <c r="B132" s="10" t="s">
        <v>16</v>
      </c>
      <c r="C132" s="3">
        <v>606</v>
      </c>
      <c r="D132" s="3"/>
      <c r="E132" s="59"/>
      <c r="F132" s="54" t="s">
        <v>22</v>
      </c>
      <c r="G132" s="3">
        <v>2</v>
      </c>
      <c r="H132" s="66">
        <v>0.33</v>
      </c>
      <c r="I132" s="3">
        <v>200</v>
      </c>
      <c r="J132" s="56">
        <f>I132*H132</f>
        <v>66</v>
      </c>
      <c r="K132" s="57"/>
      <c r="L132" s="57"/>
      <c r="M132" s="56"/>
      <c r="N132" s="56"/>
      <c r="O132" s="58"/>
    </row>
    <row r="133" spans="1:15" ht="15" x14ac:dyDescent="0.35">
      <c r="A133" s="99"/>
      <c r="B133" s="55"/>
      <c r="C133" s="3"/>
      <c r="D133" s="3"/>
      <c r="E133" s="59"/>
      <c r="F133" s="54"/>
      <c r="G133" s="3"/>
      <c r="H133" s="66"/>
      <c r="I133" s="3"/>
      <c r="J133" s="56"/>
      <c r="K133" s="57"/>
      <c r="L133" s="57"/>
      <c r="M133" s="56"/>
      <c r="N133" s="56"/>
      <c r="O133" s="58"/>
    </row>
    <row r="134" spans="1:15" ht="15" x14ac:dyDescent="0.35">
      <c r="A134" s="99"/>
      <c r="B134" s="55"/>
      <c r="C134" s="3"/>
      <c r="D134" s="3"/>
      <c r="E134" s="59"/>
      <c r="F134" s="54"/>
      <c r="G134" s="3"/>
      <c r="H134" s="66"/>
      <c r="I134" s="3"/>
      <c r="J134" s="56"/>
      <c r="K134" s="57"/>
      <c r="L134" s="57"/>
      <c r="M134" s="56"/>
      <c r="N134" s="56"/>
      <c r="O134" s="58"/>
    </row>
    <row r="135" spans="1:15" ht="16" thickBot="1" x14ac:dyDescent="0.4">
      <c r="A135" s="99"/>
      <c r="B135" s="19"/>
      <c r="C135" s="20"/>
      <c r="D135" s="20"/>
      <c r="E135" s="21"/>
      <c r="F135" s="22"/>
      <c r="G135" s="22"/>
      <c r="H135" s="23"/>
      <c r="I135" s="20"/>
      <c r="J135" s="24"/>
      <c r="K135" s="21"/>
      <c r="L135" s="21"/>
      <c r="M135" s="21"/>
      <c r="N135" s="25"/>
      <c r="O135" s="26"/>
    </row>
    <row r="136" spans="1:15" ht="16" thickBot="1" x14ac:dyDescent="0.4">
      <c r="A136" s="99"/>
      <c r="B136" s="27"/>
      <c r="C136" s="28"/>
      <c r="D136" s="28"/>
      <c r="E136" s="29">
        <f>SUM(E120:E135)</f>
        <v>21.085999999999999</v>
      </c>
      <c r="F136" s="28"/>
      <c r="G136" s="28">
        <f>SUM(G120:G135)</f>
        <v>116</v>
      </c>
      <c r="H136" s="29">
        <f>SUM(H120:H135)</f>
        <v>9.07</v>
      </c>
      <c r="I136" s="28"/>
      <c r="J136" s="30">
        <f t="shared" ref="J136:O136" si="8">SUM(J120:J135)</f>
        <v>22466</v>
      </c>
      <c r="K136" s="29">
        <f t="shared" si="8"/>
        <v>19.271999999999998</v>
      </c>
      <c r="L136" s="53">
        <f t="shared" si="8"/>
        <v>16.627279999999999</v>
      </c>
      <c r="M136" s="31">
        <f t="shared" si="8"/>
        <v>239964.90495999999</v>
      </c>
      <c r="N136" s="31">
        <f t="shared" si="8"/>
        <v>10308.376</v>
      </c>
      <c r="O136" s="32">
        <f t="shared" si="8"/>
        <v>272739.28096</v>
      </c>
    </row>
    <row r="137" spans="1:15" ht="15" thickBot="1" x14ac:dyDescent="0.4"/>
    <row r="138" spans="1:15" x14ac:dyDescent="0.35">
      <c r="A138" s="99">
        <v>10</v>
      </c>
      <c r="B138" s="110" t="s">
        <v>0</v>
      </c>
      <c r="C138" s="102" t="s">
        <v>1</v>
      </c>
      <c r="D138" s="102" t="s">
        <v>2</v>
      </c>
      <c r="E138" s="108" t="s">
        <v>3</v>
      </c>
      <c r="F138" s="112" t="s">
        <v>4</v>
      </c>
      <c r="G138" s="113"/>
      <c r="H138" s="113"/>
      <c r="I138" s="113"/>
      <c r="J138" s="114"/>
      <c r="K138" s="102" t="s">
        <v>5</v>
      </c>
      <c r="L138" s="104" t="s">
        <v>6</v>
      </c>
      <c r="M138" s="106" t="s">
        <v>7</v>
      </c>
      <c r="N138" s="108" t="s">
        <v>8</v>
      </c>
      <c r="O138" s="100" t="s">
        <v>9</v>
      </c>
    </row>
    <row r="139" spans="1:15" ht="15" thickBot="1" x14ac:dyDescent="0.4">
      <c r="A139" s="99"/>
      <c r="B139" s="111"/>
      <c r="C139" s="103"/>
      <c r="D139" s="103"/>
      <c r="E139" s="109"/>
      <c r="F139" s="3" t="s">
        <v>10</v>
      </c>
      <c r="G139" s="3" t="s">
        <v>11</v>
      </c>
      <c r="H139" s="3" t="s">
        <v>12</v>
      </c>
      <c r="I139" s="3" t="s">
        <v>13</v>
      </c>
      <c r="J139" s="3" t="s">
        <v>14</v>
      </c>
      <c r="K139" s="103"/>
      <c r="L139" s="105"/>
      <c r="M139" s="107"/>
      <c r="N139" s="109"/>
      <c r="O139" s="101"/>
    </row>
    <row r="140" spans="1:15" ht="15" x14ac:dyDescent="0.35">
      <c r="A140" s="99"/>
      <c r="B140" s="1">
        <v>1</v>
      </c>
      <c r="C140" s="2" t="s">
        <v>111</v>
      </c>
      <c r="D140" s="2"/>
      <c r="E140" s="4">
        <v>0.64</v>
      </c>
      <c r="F140" s="5"/>
      <c r="G140" s="2"/>
      <c r="H140" s="6"/>
      <c r="I140" s="2"/>
      <c r="J140" s="7"/>
      <c r="K140" s="8">
        <f>E140-(H140+H141)/5</f>
        <v>0.64</v>
      </c>
      <c r="L140" s="8">
        <f>K140*83%</f>
        <v>0.53120000000000001</v>
      </c>
      <c r="M140" s="7">
        <f>L140*14432</f>
        <v>7666.2784000000001</v>
      </c>
      <c r="N140" s="7">
        <v>200</v>
      </c>
      <c r="O140" s="9">
        <f>N140+J140+M140</f>
        <v>7866.2784000000001</v>
      </c>
    </row>
    <row r="141" spans="1:15" ht="15" x14ac:dyDescent="0.35">
      <c r="A141" s="99"/>
      <c r="B141" s="10" t="s">
        <v>16</v>
      </c>
      <c r="C141" s="11" t="s">
        <v>112</v>
      </c>
      <c r="D141" s="11"/>
      <c r="E141" s="12"/>
      <c r="F141" s="13"/>
      <c r="G141" s="11"/>
      <c r="H141" s="14"/>
      <c r="I141" s="11"/>
      <c r="J141" s="15"/>
      <c r="K141" s="16"/>
      <c r="L141" s="16"/>
      <c r="M141" s="15"/>
      <c r="N141" s="15"/>
      <c r="O141" s="17"/>
    </row>
    <row r="142" spans="1:15" ht="15" x14ac:dyDescent="0.35">
      <c r="A142" s="99"/>
      <c r="B142" s="10"/>
      <c r="C142" s="11"/>
      <c r="D142" s="11"/>
      <c r="E142" s="12"/>
      <c r="F142" s="13"/>
      <c r="G142" s="11"/>
      <c r="H142" s="14"/>
      <c r="I142" s="11"/>
      <c r="J142" s="15"/>
      <c r="K142" s="16"/>
      <c r="L142" s="16"/>
      <c r="M142" s="15"/>
      <c r="N142" s="15"/>
      <c r="O142" s="17"/>
    </row>
    <row r="143" spans="1:15" ht="15" x14ac:dyDescent="0.35">
      <c r="A143" s="99"/>
      <c r="B143" s="10"/>
      <c r="C143" s="11"/>
      <c r="D143" s="11"/>
      <c r="E143" s="12"/>
      <c r="F143" s="13"/>
      <c r="G143" s="11"/>
      <c r="H143" s="14"/>
      <c r="I143" s="11"/>
      <c r="J143" s="15"/>
      <c r="K143" s="16"/>
      <c r="L143" s="16"/>
      <c r="M143" s="56"/>
      <c r="N143" s="56"/>
      <c r="O143" s="17"/>
    </row>
    <row r="144" spans="1:15" ht="15" x14ac:dyDescent="0.35">
      <c r="A144" s="99"/>
      <c r="B144" s="55"/>
      <c r="C144" s="3"/>
      <c r="D144" s="3"/>
      <c r="E144" s="59"/>
      <c r="F144" s="54"/>
      <c r="G144" s="3"/>
      <c r="H144" s="66"/>
      <c r="I144" s="3"/>
      <c r="J144" s="56"/>
      <c r="K144" s="57"/>
      <c r="L144" s="57"/>
      <c r="M144" s="56"/>
      <c r="N144" s="56"/>
      <c r="O144" s="58"/>
    </row>
    <row r="145" spans="1:15" ht="15" x14ac:dyDescent="0.35">
      <c r="A145" s="99"/>
      <c r="B145" s="55"/>
      <c r="C145" s="3"/>
      <c r="D145" s="3"/>
      <c r="E145" s="59"/>
      <c r="F145" s="54"/>
      <c r="G145" s="3"/>
      <c r="H145" s="66"/>
      <c r="I145" s="3"/>
      <c r="J145" s="56"/>
      <c r="K145" s="57"/>
      <c r="L145" s="57"/>
      <c r="M145" s="56"/>
      <c r="N145" s="56"/>
      <c r="O145" s="58"/>
    </row>
    <row r="146" spans="1:15" ht="16" thickBot="1" x14ac:dyDescent="0.4">
      <c r="A146" s="99"/>
      <c r="B146" s="19"/>
      <c r="C146" s="20"/>
      <c r="D146" s="20"/>
      <c r="E146" s="21"/>
      <c r="F146" s="22"/>
      <c r="G146" s="22"/>
      <c r="H146" s="23"/>
      <c r="I146" s="20"/>
      <c r="J146" s="24"/>
      <c r="K146" s="21"/>
      <c r="L146" s="21"/>
      <c r="M146" s="21"/>
      <c r="N146" s="25"/>
      <c r="O146" s="26"/>
    </row>
    <row r="147" spans="1:15" ht="16" thickBot="1" x14ac:dyDescent="0.4">
      <c r="A147" s="99"/>
      <c r="B147" s="27"/>
      <c r="C147" s="28"/>
      <c r="D147" s="28"/>
      <c r="E147" s="29">
        <f>SUM(E140:E146)</f>
        <v>0.64</v>
      </c>
      <c r="F147" s="28"/>
      <c r="G147" s="28">
        <f>SUM(G140:G146)</f>
        <v>0</v>
      </c>
      <c r="H147" s="29">
        <f>SUM(H140:H146)</f>
        <v>0</v>
      </c>
      <c r="I147" s="28"/>
      <c r="J147" s="30">
        <f t="shared" ref="J147:O147" si="9">SUM(J140:J146)</f>
        <v>0</v>
      </c>
      <c r="K147" s="29">
        <f t="shared" si="9"/>
        <v>0.64</v>
      </c>
      <c r="L147" s="53">
        <f t="shared" si="9"/>
        <v>0.53120000000000001</v>
      </c>
      <c r="M147" s="31">
        <f t="shared" si="9"/>
        <v>7666.2784000000001</v>
      </c>
      <c r="N147" s="31">
        <f t="shared" si="9"/>
        <v>200</v>
      </c>
      <c r="O147" s="32">
        <f t="shared" si="9"/>
        <v>7866.2784000000001</v>
      </c>
    </row>
  </sheetData>
  <mergeCells count="108">
    <mergeCell ref="O138:O139"/>
    <mergeCell ref="F138:J138"/>
    <mergeCell ref="K138:K139"/>
    <mergeCell ref="L138:L139"/>
    <mergeCell ref="M138:M139"/>
    <mergeCell ref="N138:N139"/>
    <mergeCell ref="A138:A147"/>
    <mergeCell ref="B138:B139"/>
    <mergeCell ref="C138:C139"/>
    <mergeCell ref="D138:D139"/>
    <mergeCell ref="E138:E139"/>
    <mergeCell ref="A118:A136"/>
    <mergeCell ref="B118:B119"/>
    <mergeCell ref="C118:C119"/>
    <mergeCell ref="D118:D119"/>
    <mergeCell ref="E118:E119"/>
    <mergeCell ref="O118:O119"/>
    <mergeCell ref="F118:J118"/>
    <mergeCell ref="K118:K119"/>
    <mergeCell ref="L118:L119"/>
    <mergeCell ref="M118:M119"/>
    <mergeCell ref="N118:N119"/>
    <mergeCell ref="A94:A105"/>
    <mergeCell ref="B94:B95"/>
    <mergeCell ref="C94:C95"/>
    <mergeCell ref="D94:D95"/>
    <mergeCell ref="E94:E95"/>
    <mergeCell ref="O94:O95"/>
    <mergeCell ref="F94:J94"/>
    <mergeCell ref="K94:K95"/>
    <mergeCell ref="L94:L95"/>
    <mergeCell ref="M94:M95"/>
    <mergeCell ref="N94:N95"/>
    <mergeCell ref="A85:A92"/>
    <mergeCell ref="B85:B86"/>
    <mergeCell ref="C85:C86"/>
    <mergeCell ref="D85:D86"/>
    <mergeCell ref="E85:E86"/>
    <mergeCell ref="O85:O86"/>
    <mergeCell ref="F85:J85"/>
    <mergeCell ref="K85:K86"/>
    <mergeCell ref="L85:L86"/>
    <mergeCell ref="M85:M86"/>
    <mergeCell ref="N85:N86"/>
    <mergeCell ref="C51:C52"/>
    <mergeCell ref="D51:D52"/>
    <mergeCell ref="E51:E52"/>
    <mergeCell ref="N22:N23"/>
    <mergeCell ref="O22:O23"/>
    <mergeCell ref="A22:A28"/>
    <mergeCell ref="B22:B23"/>
    <mergeCell ref="C22:C23"/>
    <mergeCell ref="D22:D23"/>
    <mergeCell ref="E22:E23"/>
    <mergeCell ref="F22:J22"/>
    <mergeCell ref="K22:K23"/>
    <mergeCell ref="L22:L23"/>
    <mergeCell ref="M22:M23"/>
    <mergeCell ref="A30:A49"/>
    <mergeCell ref="B30:B31"/>
    <mergeCell ref="C30:C31"/>
    <mergeCell ref="D30:D31"/>
    <mergeCell ref="E30:E31"/>
    <mergeCell ref="O2:O3"/>
    <mergeCell ref="A2:A20"/>
    <mergeCell ref="B2:B3"/>
    <mergeCell ref="C2:C3"/>
    <mergeCell ref="D2:D3"/>
    <mergeCell ref="E2:E3"/>
    <mergeCell ref="K2:K3"/>
    <mergeCell ref="L2:L3"/>
    <mergeCell ref="M2:M3"/>
    <mergeCell ref="N2:N3"/>
    <mergeCell ref="A64:A83"/>
    <mergeCell ref="B64:B65"/>
    <mergeCell ref="C64:C65"/>
    <mergeCell ref="D64:D65"/>
    <mergeCell ref="E64:E65"/>
    <mergeCell ref="O30:O31"/>
    <mergeCell ref="O64:O65"/>
    <mergeCell ref="F64:J64"/>
    <mergeCell ref="K64:K65"/>
    <mergeCell ref="L64:L65"/>
    <mergeCell ref="M64:M65"/>
    <mergeCell ref="N64:N65"/>
    <mergeCell ref="K30:K31"/>
    <mergeCell ref="L30:L31"/>
    <mergeCell ref="M30:M31"/>
    <mergeCell ref="N30:N31"/>
    <mergeCell ref="O51:O52"/>
    <mergeCell ref="F51:J51"/>
    <mergeCell ref="K51:K52"/>
    <mergeCell ref="L51:L52"/>
    <mergeCell ref="M51:M52"/>
    <mergeCell ref="N51:N52"/>
    <mergeCell ref="A51:A62"/>
    <mergeCell ref="B51:B52"/>
    <mergeCell ref="N107:N108"/>
    <mergeCell ref="O107:O108"/>
    <mergeCell ref="A107:A116"/>
    <mergeCell ref="B107:B108"/>
    <mergeCell ref="C107:C108"/>
    <mergeCell ref="D107:D108"/>
    <mergeCell ref="E107:E108"/>
    <mergeCell ref="F107:J107"/>
    <mergeCell ref="K107:K108"/>
    <mergeCell ref="L107:L108"/>
    <mergeCell ref="M107:M108"/>
  </mergeCells>
  <pageMargins left="0.7" right="0.7" top="0.75" bottom="0.75" header="0.3" footer="0.3"/>
  <pageSetup scale="22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B662-1C0B-4CBE-8A96-964951D648ED}">
  <sheetPr>
    <pageSetUpPr fitToPage="1"/>
  </sheetPr>
  <dimension ref="A1:Q42"/>
  <sheetViews>
    <sheetView topLeftCell="A31" workbookViewId="0">
      <selection activeCell="E40" sqref="E40"/>
    </sheetView>
  </sheetViews>
  <sheetFormatPr defaultRowHeight="14.5" x14ac:dyDescent="0.35"/>
  <cols>
    <col min="3" max="3" width="9.90625" bestFit="1" customWidth="1"/>
    <col min="4" max="4" width="16.81640625" customWidth="1"/>
  </cols>
  <sheetData>
    <row r="1" spans="1:15" ht="15" thickBot="1" x14ac:dyDescent="0.4"/>
    <row r="2" spans="1:15" x14ac:dyDescent="0.35">
      <c r="A2" s="99">
        <v>1</v>
      </c>
      <c r="B2" s="110" t="s">
        <v>0</v>
      </c>
      <c r="C2" s="102" t="s">
        <v>1</v>
      </c>
      <c r="D2" s="102" t="s">
        <v>2</v>
      </c>
      <c r="E2" s="108" t="s">
        <v>3</v>
      </c>
      <c r="F2" s="102" t="s">
        <v>4</v>
      </c>
      <c r="G2" s="102"/>
      <c r="H2" s="102"/>
      <c r="I2" s="102"/>
      <c r="J2" s="102"/>
      <c r="K2" s="102" t="s">
        <v>5</v>
      </c>
      <c r="L2" s="104" t="s">
        <v>6</v>
      </c>
      <c r="M2" s="106" t="s">
        <v>7</v>
      </c>
      <c r="N2" s="108" t="s">
        <v>8</v>
      </c>
      <c r="O2" s="100" t="s">
        <v>9</v>
      </c>
    </row>
    <row r="3" spans="1:15" ht="15" thickBot="1" x14ac:dyDescent="0.4">
      <c r="A3" s="99"/>
      <c r="B3" s="111"/>
      <c r="C3" s="103"/>
      <c r="D3" s="103"/>
      <c r="E3" s="109"/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103"/>
      <c r="L3" s="105"/>
      <c r="M3" s="107"/>
      <c r="N3" s="109"/>
      <c r="O3" s="101"/>
    </row>
    <row r="4" spans="1:15" ht="15" x14ac:dyDescent="0.35">
      <c r="A4" s="99"/>
      <c r="B4" s="1">
        <v>1</v>
      </c>
      <c r="C4" s="2" t="s">
        <v>68</v>
      </c>
      <c r="D4" s="2" t="s">
        <v>57</v>
      </c>
      <c r="E4" s="4">
        <f>2.16-1.49</f>
        <v>0.67000000000000015</v>
      </c>
      <c r="F4" s="5"/>
      <c r="G4" s="2"/>
      <c r="H4" s="37"/>
      <c r="I4" s="2"/>
      <c r="J4" s="7"/>
      <c r="K4" s="8">
        <f>E4-(H4+H5+H6)/5</f>
        <v>0.67000000000000015</v>
      </c>
      <c r="L4" s="8">
        <f>K4*92%</f>
        <v>0.61640000000000017</v>
      </c>
      <c r="M4" s="7">
        <f>L4*14933</f>
        <v>9204.7012000000032</v>
      </c>
      <c r="N4" s="7">
        <v>2000</v>
      </c>
      <c r="O4" s="9">
        <f>N4+M4+J4+J5+J6</f>
        <v>11204.701200000003</v>
      </c>
    </row>
    <row r="5" spans="1:15" ht="15" x14ac:dyDescent="0.35">
      <c r="A5" s="99"/>
      <c r="B5" s="10" t="s">
        <v>21</v>
      </c>
      <c r="C5" s="11"/>
      <c r="D5" s="11"/>
      <c r="E5" s="12"/>
      <c r="F5" s="13"/>
      <c r="G5" s="11"/>
      <c r="H5" s="44"/>
      <c r="I5" s="11"/>
      <c r="J5" s="15"/>
      <c r="K5" s="16"/>
      <c r="L5" s="16"/>
      <c r="M5" s="15"/>
      <c r="N5" s="15"/>
      <c r="O5" s="17"/>
    </row>
    <row r="6" spans="1:15" ht="15" x14ac:dyDescent="0.35">
      <c r="A6" s="99"/>
      <c r="B6" s="10"/>
      <c r="C6" s="11"/>
      <c r="D6" s="11"/>
      <c r="E6" s="12"/>
      <c r="F6" s="13"/>
      <c r="G6" s="11"/>
      <c r="H6" s="44"/>
      <c r="I6" s="11"/>
      <c r="J6" s="15"/>
      <c r="K6" s="16"/>
      <c r="L6" s="16"/>
      <c r="M6" s="15"/>
      <c r="N6" s="15"/>
      <c r="O6" s="17"/>
    </row>
    <row r="7" spans="1:15" ht="15" x14ac:dyDescent="0.35">
      <c r="A7" s="99"/>
      <c r="B7" s="10"/>
      <c r="C7" s="11"/>
      <c r="D7" s="11"/>
      <c r="E7" s="12"/>
      <c r="F7" s="13"/>
      <c r="G7" s="11"/>
      <c r="H7" s="44"/>
      <c r="I7" s="11"/>
      <c r="J7" s="15"/>
      <c r="K7" s="16"/>
      <c r="L7" s="16"/>
      <c r="M7" s="15"/>
      <c r="N7" s="15"/>
      <c r="O7" s="17"/>
    </row>
    <row r="8" spans="1:15" ht="15" x14ac:dyDescent="0.35">
      <c r="A8" s="99"/>
      <c r="B8" s="10">
        <v>2</v>
      </c>
      <c r="C8" s="11" t="s">
        <v>65</v>
      </c>
      <c r="D8" s="11" t="s">
        <v>65</v>
      </c>
      <c r="E8" s="18">
        <v>18.38</v>
      </c>
      <c r="F8" s="13" t="s">
        <v>20</v>
      </c>
      <c r="G8" s="11">
        <v>1</v>
      </c>
      <c r="H8" s="44">
        <v>1.95</v>
      </c>
      <c r="I8" s="11">
        <v>2060</v>
      </c>
      <c r="J8" s="15">
        <f>I8*H8</f>
        <v>4017</v>
      </c>
      <c r="K8" s="16">
        <f>E8-(H8+H9+H10)/5</f>
        <v>17.989999999999998</v>
      </c>
      <c r="L8" s="16">
        <f>K8*85%</f>
        <v>15.291499999999997</v>
      </c>
      <c r="M8" s="15">
        <f>L8*15508</f>
        <v>237140.58199999997</v>
      </c>
      <c r="N8" s="15"/>
      <c r="O8" s="17">
        <f>N8+M8+J8</f>
        <v>241157.58199999997</v>
      </c>
    </row>
    <row r="9" spans="1:15" ht="15" x14ac:dyDescent="0.35">
      <c r="A9" s="99"/>
      <c r="B9" s="10" t="s">
        <v>16</v>
      </c>
      <c r="C9" s="11"/>
      <c r="D9" s="11"/>
      <c r="E9" s="12"/>
      <c r="F9" s="13"/>
      <c r="G9" s="11"/>
      <c r="H9" s="44"/>
      <c r="I9" s="11"/>
      <c r="J9" s="15"/>
      <c r="K9" s="16"/>
      <c r="L9" s="16"/>
      <c r="M9" s="15"/>
      <c r="N9" s="15"/>
      <c r="O9" s="17"/>
    </row>
    <row r="10" spans="1:15" ht="15" x14ac:dyDescent="0.35">
      <c r="A10" s="99"/>
      <c r="B10" s="10"/>
      <c r="C10" s="11"/>
      <c r="D10" s="11"/>
      <c r="E10" s="12"/>
      <c r="F10" s="13"/>
      <c r="G10" s="11"/>
      <c r="H10" s="44"/>
      <c r="I10" s="11"/>
      <c r="J10" s="15"/>
      <c r="K10" s="16"/>
      <c r="L10" s="16"/>
      <c r="M10" s="15"/>
      <c r="N10" s="15"/>
      <c r="O10" s="17"/>
    </row>
    <row r="11" spans="1:15" ht="15" x14ac:dyDescent="0.35">
      <c r="A11" s="99"/>
      <c r="B11" s="10">
        <v>3</v>
      </c>
      <c r="C11" s="11" t="s">
        <v>56</v>
      </c>
      <c r="D11" s="11" t="s">
        <v>56</v>
      </c>
      <c r="E11" s="18">
        <v>2.27</v>
      </c>
      <c r="F11" s="13" t="s">
        <v>20</v>
      </c>
      <c r="G11" s="11">
        <v>1</v>
      </c>
      <c r="H11" s="44">
        <v>0.85</v>
      </c>
      <c r="I11" s="11">
        <v>2060</v>
      </c>
      <c r="J11" s="15">
        <f>I11*H11</f>
        <v>1751</v>
      </c>
      <c r="K11" s="16">
        <f>E11-(H11+H12+H13)/5</f>
        <v>2.1</v>
      </c>
      <c r="L11" s="16">
        <f>K11*85%</f>
        <v>1.7849999999999999</v>
      </c>
      <c r="M11" s="15">
        <f>L11*15508</f>
        <v>27681.78</v>
      </c>
      <c r="N11" s="15"/>
      <c r="O11" s="17">
        <f>N11+M11+J11</f>
        <v>29432.78</v>
      </c>
    </row>
    <row r="12" spans="1:15" ht="15" x14ac:dyDescent="0.35">
      <c r="A12" s="99"/>
      <c r="B12" s="10" t="s">
        <v>16</v>
      </c>
      <c r="C12" s="11"/>
      <c r="D12" s="11"/>
      <c r="E12" s="12"/>
      <c r="F12" s="13"/>
      <c r="G12" s="11"/>
      <c r="H12" s="44"/>
      <c r="I12" s="11"/>
      <c r="J12" s="15"/>
      <c r="K12" s="16"/>
      <c r="L12" s="16"/>
      <c r="M12" s="15"/>
      <c r="N12" s="15"/>
      <c r="O12" s="17"/>
    </row>
    <row r="13" spans="1:15" ht="15" x14ac:dyDescent="0.35">
      <c r="A13" s="99"/>
      <c r="B13" s="10"/>
      <c r="C13" s="11"/>
      <c r="D13" s="11"/>
      <c r="E13" s="12"/>
      <c r="F13" s="13"/>
      <c r="G13" s="11"/>
      <c r="H13" s="44"/>
      <c r="I13" s="11"/>
      <c r="J13" s="15"/>
      <c r="K13" s="16"/>
      <c r="L13" s="16"/>
      <c r="M13" s="15"/>
      <c r="N13" s="15"/>
      <c r="O13" s="17"/>
    </row>
    <row r="14" spans="1:15" ht="15" x14ac:dyDescent="0.35">
      <c r="A14" s="99"/>
      <c r="B14" s="10">
        <v>4</v>
      </c>
      <c r="C14" s="11" t="s">
        <v>67</v>
      </c>
      <c r="D14" s="11" t="s">
        <v>66</v>
      </c>
      <c r="E14" s="18">
        <v>6.42</v>
      </c>
      <c r="F14" s="13" t="s">
        <v>20</v>
      </c>
      <c r="G14" s="11">
        <v>1</v>
      </c>
      <c r="H14" s="44">
        <v>1.05</v>
      </c>
      <c r="I14" s="11">
        <v>2060</v>
      </c>
      <c r="J14" s="15">
        <f>I14*H14</f>
        <v>2163</v>
      </c>
      <c r="K14" s="16">
        <f>E14-(H14+H15+H16)/5</f>
        <v>6.21</v>
      </c>
      <c r="L14" s="16">
        <f>K14*85%</f>
        <v>5.2785000000000002</v>
      </c>
      <c r="M14" s="15">
        <f>L14*15508</f>
        <v>81858.978000000003</v>
      </c>
      <c r="N14" s="15"/>
      <c r="O14" s="17">
        <f>N14+M14+J14</f>
        <v>84021.978000000003</v>
      </c>
    </row>
    <row r="15" spans="1:15" ht="15" x14ac:dyDescent="0.35">
      <c r="A15" s="99"/>
      <c r="B15" s="10" t="s">
        <v>16</v>
      </c>
      <c r="C15" s="11"/>
      <c r="D15" s="80"/>
      <c r="E15" s="12"/>
      <c r="F15" s="13"/>
      <c r="G15" s="11"/>
      <c r="H15" s="14"/>
      <c r="I15" s="11"/>
      <c r="J15" s="15"/>
      <c r="K15" s="16"/>
      <c r="L15" s="16"/>
      <c r="M15" s="15"/>
      <c r="N15" s="15"/>
      <c r="O15" s="17"/>
    </row>
    <row r="16" spans="1:15" ht="16" thickBot="1" x14ac:dyDescent="0.4">
      <c r="A16" s="99"/>
      <c r="B16" s="19"/>
      <c r="C16" s="20"/>
      <c r="D16" s="20"/>
      <c r="E16" s="21"/>
      <c r="F16" s="22"/>
      <c r="G16" s="22"/>
      <c r="H16" s="23"/>
      <c r="I16" s="20"/>
      <c r="J16" s="24"/>
      <c r="K16" s="21"/>
      <c r="L16" s="21"/>
      <c r="M16" s="21"/>
      <c r="N16" s="25"/>
      <c r="O16" s="26"/>
    </row>
    <row r="17" spans="1:17" ht="16" thickBot="1" x14ac:dyDescent="0.4">
      <c r="A17" s="99"/>
      <c r="B17" s="27"/>
      <c r="C17" s="28"/>
      <c r="D17" s="28"/>
      <c r="E17" s="29">
        <f>SUM(E4:E16)</f>
        <v>27.740000000000002</v>
      </c>
      <c r="F17" s="28"/>
      <c r="G17" s="28">
        <f>SUM(G4:G16)</f>
        <v>3</v>
      </c>
      <c r="H17" s="29">
        <f>SUM(H4:H16)</f>
        <v>3.8499999999999996</v>
      </c>
      <c r="I17" s="28"/>
      <c r="J17" s="30">
        <f t="shared" ref="J17:O17" si="0">SUM(J4:J16)</f>
        <v>7931</v>
      </c>
      <c r="K17" s="29">
        <f t="shared" si="0"/>
        <v>26.970000000000002</v>
      </c>
      <c r="L17" s="29">
        <f t="shared" si="0"/>
        <v>22.971399999999999</v>
      </c>
      <c r="M17" s="30">
        <f t="shared" si="0"/>
        <v>355886.04119999998</v>
      </c>
      <c r="N17" s="31">
        <f t="shared" si="0"/>
        <v>2000</v>
      </c>
      <c r="O17" s="32">
        <f t="shared" si="0"/>
        <v>365817.04119999998</v>
      </c>
      <c r="P17" t="s">
        <v>26</v>
      </c>
      <c r="Q17" t="s">
        <v>85</v>
      </c>
    </row>
    <row r="18" spans="1:17" ht="15" thickBot="1" x14ac:dyDescent="0.4"/>
    <row r="19" spans="1:17" x14ac:dyDescent="0.35">
      <c r="A19" s="99">
        <v>2</v>
      </c>
      <c r="B19" s="110" t="s">
        <v>0</v>
      </c>
      <c r="C19" s="102" t="s">
        <v>1</v>
      </c>
      <c r="D19" s="102" t="s">
        <v>2</v>
      </c>
      <c r="E19" s="108" t="s">
        <v>3</v>
      </c>
      <c r="F19" s="102" t="s">
        <v>4</v>
      </c>
      <c r="G19" s="102"/>
      <c r="H19" s="102"/>
      <c r="I19" s="102"/>
      <c r="J19" s="102"/>
      <c r="K19" s="102" t="s">
        <v>5</v>
      </c>
      <c r="L19" s="104" t="s">
        <v>6</v>
      </c>
      <c r="M19" s="106" t="s">
        <v>7</v>
      </c>
      <c r="N19" s="108" t="s">
        <v>8</v>
      </c>
      <c r="O19" s="100" t="s">
        <v>9</v>
      </c>
    </row>
    <row r="20" spans="1:17" ht="15" thickBot="1" x14ac:dyDescent="0.4">
      <c r="A20" s="99"/>
      <c r="B20" s="111"/>
      <c r="C20" s="103"/>
      <c r="D20" s="103"/>
      <c r="E20" s="109"/>
      <c r="F20" s="3" t="s">
        <v>10</v>
      </c>
      <c r="G20" s="3" t="s">
        <v>11</v>
      </c>
      <c r="H20" s="3" t="s">
        <v>12</v>
      </c>
      <c r="I20" s="3" t="s">
        <v>13</v>
      </c>
      <c r="J20" s="3" t="s">
        <v>14</v>
      </c>
      <c r="K20" s="103"/>
      <c r="L20" s="105"/>
      <c r="M20" s="107"/>
      <c r="N20" s="109"/>
      <c r="O20" s="101"/>
    </row>
    <row r="21" spans="1:17" ht="15" x14ac:dyDescent="0.35">
      <c r="A21" s="99"/>
      <c r="B21" s="1">
        <v>1</v>
      </c>
      <c r="C21" s="2" t="s">
        <v>92</v>
      </c>
      <c r="D21" s="2"/>
      <c r="E21" s="4">
        <v>19.98</v>
      </c>
      <c r="F21" s="5" t="s">
        <v>24</v>
      </c>
      <c r="G21" s="2">
        <v>138</v>
      </c>
      <c r="H21" s="37">
        <v>0.95</v>
      </c>
      <c r="I21" s="2">
        <v>40000</v>
      </c>
      <c r="J21" s="7">
        <f>I21*H21</f>
        <v>38000</v>
      </c>
      <c r="K21" s="8">
        <f>E21-(H21+H22+H23+H24)/5</f>
        <v>18.757999999999999</v>
      </c>
      <c r="L21" s="8">
        <f>K21*76%</f>
        <v>14.256079999999999</v>
      </c>
      <c r="M21" s="7">
        <f>L21*14335</f>
        <v>204360.9068</v>
      </c>
      <c r="N21" s="7">
        <f>1.5*14200+457</f>
        <v>21757</v>
      </c>
      <c r="O21" s="9">
        <f>N21+M21+J21+J22+J23+J24</f>
        <v>303147.9068</v>
      </c>
    </row>
    <row r="22" spans="1:17" ht="15" x14ac:dyDescent="0.35">
      <c r="A22" s="99"/>
      <c r="B22" s="10" t="s">
        <v>16</v>
      </c>
      <c r="C22" s="11"/>
      <c r="D22" s="11"/>
      <c r="E22" s="12"/>
      <c r="F22" s="13" t="s">
        <v>24</v>
      </c>
      <c r="G22" s="11">
        <v>83</v>
      </c>
      <c r="H22" s="44">
        <v>0.96</v>
      </c>
      <c r="I22" s="11">
        <v>40000</v>
      </c>
      <c r="J22" s="15">
        <f>I22*H22</f>
        <v>38400</v>
      </c>
      <c r="K22" s="16"/>
      <c r="L22" s="16"/>
      <c r="M22" s="15"/>
      <c r="N22" s="15"/>
      <c r="O22" s="17"/>
    </row>
    <row r="23" spans="1:17" ht="15" x14ac:dyDescent="0.35">
      <c r="A23" s="99"/>
      <c r="B23" s="10"/>
      <c r="C23" s="11"/>
      <c r="D23" s="11"/>
      <c r="E23" s="12"/>
      <c r="F23" s="13" t="s">
        <v>22</v>
      </c>
      <c r="G23" s="11">
        <v>1</v>
      </c>
      <c r="H23" s="44">
        <v>2.4500000000000002</v>
      </c>
      <c r="I23" s="11">
        <v>150</v>
      </c>
      <c r="J23" s="15">
        <f>I23*H23</f>
        <v>367.5</v>
      </c>
      <c r="K23" s="16"/>
      <c r="L23" s="16"/>
      <c r="M23" s="15"/>
      <c r="N23" s="15"/>
      <c r="O23" s="17"/>
    </row>
    <row r="24" spans="1:17" ht="15" x14ac:dyDescent="0.35">
      <c r="A24" s="99"/>
      <c r="B24" s="10"/>
      <c r="C24" s="11"/>
      <c r="D24" s="11"/>
      <c r="E24" s="12"/>
      <c r="F24" s="13" t="s">
        <v>23</v>
      </c>
      <c r="G24" s="11">
        <v>1</v>
      </c>
      <c r="H24" s="44">
        <v>1.75</v>
      </c>
      <c r="I24" s="11">
        <v>150</v>
      </c>
      <c r="J24" s="15">
        <f>I24*H24</f>
        <v>262.5</v>
      </c>
      <c r="K24" s="16"/>
      <c r="L24" s="16"/>
      <c r="M24" s="15"/>
      <c r="N24" s="15"/>
      <c r="O24" s="17"/>
    </row>
    <row r="25" spans="1:17" ht="15" x14ac:dyDescent="0.35">
      <c r="A25" s="99"/>
      <c r="B25" s="10"/>
      <c r="C25" s="11"/>
      <c r="D25" s="11"/>
      <c r="E25" s="12"/>
      <c r="F25" s="13"/>
      <c r="G25" s="11"/>
      <c r="H25" s="44"/>
      <c r="I25" s="11"/>
      <c r="J25" s="15"/>
      <c r="K25" s="16"/>
      <c r="L25" s="16"/>
      <c r="M25" s="15"/>
      <c r="N25" s="15"/>
      <c r="O25" s="17"/>
    </row>
    <row r="26" spans="1:17" ht="15" x14ac:dyDescent="0.35">
      <c r="A26" s="99"/>
      <c r="B26" s="10">
        <v>1</v>
      </c>
      <c r="C26" s="11"/>
      <c r="D26" s="11"/>
      <c r="E26" s="18">
        <v>5.9</v>
      </c>
      <c r="F26" s="13" t="s">
        <v>93</v>
      </c>
      <c r="G26" s="11">
        <v>14</v>
      </c>
      <c r="H26" s="44">
        <v>1.1499999999999999</v>
      </c>
      <c r="I26" s="11">
        <v>70</v>
      </c>
      <c r="J26" s="15">
        <f>I26*H26</f>
        <v>80.5</v>
      </c>
      <c r="K26" s="16">
        <f>E26-(H26+H27+H28)/5</f>
        <v>5.4300000000000006</v>
      </c>
      <c r="L26" s="16">
        <f>K26*92%</f>
        <v>4.9956000000000005</v>
      </c>
      <c r="M26" s="15">
        <f>L26*14335</f>
        <v>71611.926000000007</v>
      </c>
      <c r="N26" s="15">
        <f>0.334*14200</f>
        <v>4742.8</v>
      </c>
      <c r="O26" s="17">
        <f>N26+M26+J26+J27</f>
        <v>76519.22600000001</v>
      </c>
    </row>
    <row r="27" spans="1:17" ht="15" x14ac:dyDescent="0.35">
      <c r="A27" s="99"/>
      <c r="B27" s="10" t="s">
        <v>21</v>
      </c>
      <c r="C27" s="11"/>
      <c r="D27" s="11"/>
      <c r="E27" s="12"/>
      <c r="F27" s="13" t="s">
        <v>22</v>
      </c>
      <c r="G27" s="11">
        <v>5</v>
      </c>
      <c r="H27" s="44">
        <v>1.2</v>
      </c>
      <c r="I27" s="11">
        <v>70</v>
      </c>
      <c r="J27" s="15">
        <f>I27*H27</f>
        <v>84</v>
      </c>
      <c r="K27" s="16"/>
      <c r="L27" s="16"/>
      <c r="M27" s="15"/>
      <c r="N27" s="15"/>
      <c r="O27" s="17"/>
    </row>
    <row r="28" spans="1:17" ht="15" x14ac:dyDescent="0.35">
      <c r="A28" s="99"/>
      <c r="B28" s="10"/>
      <c r="C28" s="11"/>
      <c r="D28" s="11"/>
      <c r="E28" s="12"/>
      <c r="F28" s="13"/>
      <c r="G28" s="11"/>
      <c r="H28" s="44"/>
      <c r="I28" s="11"/>
      <c r="J28" s="15"/>
      <c r="K28" s="16"/>
      <c r="L28" s="16"/>
      <c r="M28" s="15"/>
      <c r="N28" s="15"/>
      <c r="O28" s="17"/>
    </row>
    <row r="29" spans="1:17" ht="16" thickBot="1" x14ac:dyDescent="0.4">
      <c r="A29" s="99"/>
      <c r="B29" s="19"/>
      <c r="C29" s="20"/>
      <c r="D29" s="20"/>
      <c r="E29" s="21"/>
      <c r="F29" s="22"/>
      <c r="G29" s="22"/>
      <c r="H29" s="23"/>
      <c r="I29" s="20"/>
      <c r="J29" s="24"/>
      <c r="K29" s="21"/>
      <c r="L29" s="21"/>
      <c r="M29" s="21"/>
      <c r="N29" s="25"/>
      <c r="O29" s="26"/>
    </row>
    <row r="30" spans="1:17" ht="16" thickBot="1" x14ac:dyDescent="0.4">
      <c r="A30" s="99"/>
      <c r="B30" s="27"/>
      <c r="C30" s="28"/>
      <c r="D30" s="28"/>
      <c r="E30" s="29">
        <f>SUM(E21:E29)</f>
        <v>25.880000000000003</v>
      </c>
      <c r="F30" s="28"/>
      <c r="G30" s="28">
        <f>SUM(G21:G29)</f>
        <v>242</v>
      </c>
      <c r="H30" s="29">
        <f>SUM(H21:H29)</f>
        <v>8.4599999999999991</v>
      </c>
      <c r="I30" s="28"/>
      <c r="J30" s="30">
        <f t="shared" ref="J30:O30" si="1">SUM(J21:J29)</f>
        <v>77194.5</v>
      </c>
      <c r="K30" s="29">
        <f t="shared" si="1"/>
        <v>24.187999999999999</v>
      </c>
      <c r="L30" s="29">
        <f t="shared" si="1"/>
        <v>19.25168</v>
      </c>
      <c r="M30" s="30">
        <f t="shared" si="1"/>
        <v>275972.83279999997</v>
      </c>
      <c r="N30" s="31">
        <f t="shared" si="1"/>
        <v>26499.8</v>
      </c>
      <c r="O30" s="32">
        <f t="shared" si="1"/>
        <v>379667.13280000002</v>
      </c>
      <c r="P30" t="s">
        <v>26</v>
      </c>
    </row>
    <row r="31" spans="1:17" ht="15" thickBot="1" x14ac:dyDescent="0.4"/>
    <row r="32" spans="1:17" x14ac:dyDescent="0.35">
      <c r="A32" s="99">
        <v>3</v>
      </c>
      <c r="B32" s="110" t="s">
        <v>0</v>
      </c>
      <c r="C32" s="102" t="s">
        <v>1</v>
      </c>
      <c r="D32" s="102" t="s">
        <v>2</v>
      </c>
      <c r="E32" s="108" t="s">
        <v>3</v>
      </c>
      <c r="F32" s="102" t="s">
        <v>4</v>
      </c>
      <c r="G32" s="102"/>
      <c r="H32" s="102"/>
      <c r="I32" s="102"/>
      <c r="J32" s="102"/>
      <c r="K32" s="102" t="s">
        <v>5</v>
      </c>
      <c r="L32" s="104" t="s">
        <v>6</v>
      </c>
      <c r="M32" s="106" t="s">
        <v>7</v>
      </c>
      <c r="N32" s="108" t="s">
        <v>8</v>
      </c>
      <c r="O32" s="100" t="s">
        <v>9</v>
      </c>
    </row>
    <row r="33" spans="1:15" ht="15" thickBot="1" x14ac:dyDescent="0.4">
      <c r="A33" s="99"/>
      <c r="B33" s="111"/>
      <c r="C33" s="103"/>
      <c r="D33" s="103"/>
      <c r="E33" s="109"/>
      <c r="F33" s="3" t="s">
        <v>10</v>
      </c>
      <c r="G33" s="3" t="s">
        <v>11</v>
      </c>
      <c r="H33" s="3" t="s">
        <v>12</v>
      </c>
      <c r="I33" s="3" t="s">
        <v>13</v>
      </c>
      <c r="J33" s="3" t="s">
        <v>14</v>
      </c>
      <c r="K33" s="103"/>
      <c r="L33" s="105"/>
      <c r="M33" s="107"/>
      <c r="N33" s="109"/>
      <c r="O33" s="101"/>
    </row>
    <row r="34" spans="1:15" ht="15" x14ac:dyDescent="0.35">
      <c r="A34" s="99"/>
      <c r="B34" s="1">
        <v>1</v>
      </c>
      <c r="C34" s="2" t="s">
        <v>99</v>
      </c>
      <c r="D34" s="2"/>
      <c r="E34" s="4">
        <v>7.23</v>
      </c>
      <c r="F34" s="5" t="s">
        <v>19</v>
      </c>
      <c r="G34" s="2">
        <v>18</v>
      </c>
      <c r="H34" s="37">
        <v>0.12</v>
      </c>
      <c r="I34" s="2">
        <v>15000</v>
      </c>
      <c r="J34" s="7">
        <f t="shared" ref="J34:J40" si="2">I34*H34</f>
        <v>1800</v>
      </c>
      <c r="K34" s="8">
        <f>E34-(H34+H35+H36+H37+H38+H39+H40)/5</f>
        <v>6.5600000000000005</v>
      </c>
      <c r="L34" s="8">
        <f>K34*75%</f>
        <v>4.92</v>
      </c>
      <c r="M34" s="7">
        <f>L34*14800</f>
        <v>72816</v>
      </c>
      <c r="N34" s="7">
        <v>7000</v>
      </c>
      <c r="O34" s="9">
        <f>N34+M34+J34+J35+J36+J37+J38+J39+J40</f>
        <v>116024.1</v>
      </c>
    </row>
    <row r="35" spans="1:15" ht="15" x14ac:dyDescent="0.35">
      <c r="A35" s="99"/>
      <c r="B35" s="10" t="s">
        <v>101</v>
      </c>
      <c r="C35" s="11"/>
      <c r="D35" s="11"/>
      <c r="E35" s="12"/>
      <c r="F35" s="13" t="s">
        <v>19</v>
      </c>
      <c r="G35" s="11">
        <v>139</v>
      </c>
      <c r="H35" s="44">
        <v>2.25</v>
      </c>
      <c r="I35" s="11">
        <v>15000</v>
      </c>
      <c r="J35" s="15">
        <f t="shared" si="2"/>
        <v>33750</v>
      </c>
      <c r="K35" s="16"/>
      <c r="L35" s="16"/>
      <c r="M35" s="15"/>
      <c r="N35" s="15"/>
      <c r="O35" s="17"/>
    </row>
    <row r="36" spans="1:15" ht="15" x14ac:dyDescent="0.35">
      <c r="A36" s="99"/>
      <c r="B36" s="10"/>
      <c r="C36" s="11"/>
      <c r="D36" s="11"/>
      <c r="E36" s="12"/>
      <c r="F36" s="13" t="s">
        <v>18</v>
      </c>
      <c r="G36" s="11">
        <v>1</v>
      </c>
      <c r="H36" s="44">
        <v>0.05</v>
      </c>
      <c r="I36" s="11">
        <v>10000</v>
      </c>
      <c r="J36" s="15">
        <f t="shared" si="2"/>
        <v>500</v>
      </c>
      <c r="K36" s="16"/>
      <c r="L36" s="16"/>
      <c r="M36" s="15"/>
      <c r="N36" s="15"/>
      <c r="O36" s="17"/>
    </row>
    <row r="37" spans="1:15" ht="15" x14ac:dyDescent="0.35">
      <c r="A37" s="99"/>
      <c r="B37" s="10"/>
      <c r="C37" s="11"/>
      <c r="D37" s="11"/>
      <c r="E37" s="12"/>
      <c r="F37" s="13" t="s">
        <v>23</v>
      </c>
      <c r="G37" s="11">
        <v>1</v>
      </c>
      <c r="H37" s="44">
        <v>0.6</v>
      </c>
      <c r="I37" s="11">
        <v>170</v>
      </c>
      <c r="J37" s="15">
        <f t="shared" si="2"/>
        <v>102</v>
      </c>
      <c r="K37" s="16"/>
      <c r="L37" s="16"/>
      <c r="M37" s="15"/>
      <c r="N37" s="15"/>
      <c r="O37" s="17"/>
    </row>
    <row r="38" spans="1:15" ht="15" x14ac:dyDescent="0.35">
      <c r="A38" s="99"/>
      <c r="B38" s="10"/>
      <c r="C38" s="11"/>
      <c r="D38" s="11"/>
      <c r="E38" s="12"/>
      <c r="F38" s="13" t="s">
        <v>22</v>
      </c>
      <c r="G38" s="11">
        <v>1</v>
      </c>
      <c r="H38" s="44">
        <v>0.03</v>
      </c>
      <c r="I38" s="11">
        <v>170</v>
      </c>
      <c r="J38" s="15">
        <f t="shared" si="2"/>
        <v>5.0999999999999996</v>
      </c>
      <c r="K38" s="16"/>
      <c r="L38" s="16"/>
      <c r="M38" s="15"/>
      <c r="N38" s="15"/>
      <c r="O38" s="17"/>
    </row>
    <row r="39" spans="1:15" ht="15" x14ac:dyDescent="0.35">
      <c r="A39" s="99"/>
      <c r="B39" s="10"/>
      <c r="C39" s="11"/>
      <c r="D39" s="11"/>
      <c r="E39" s="12"/>
      <c r="F39" s="13" t="s">
        <v>100</v>
      </c>
      <c r="G39" s="11">
        <v>8</v>
      </c>
      <c r="H39" s="44">
        <v>0.25</v>
      </c>
      <c r="I39" s="11">
        <v>170</v>
      </c>
      <c r="J39" s="15">
        <f t="shared" si="2"/>
        <v>42.5</v>
      </c>
      <c r="K39" s="16"/>
      <c r="L39" s="16"/>
      <c r="M39" s="15"/>
      <c r="N39" s="15"/>
      <c r="O39" s="17"/>
    </row>
    <row r="40" spans="1:15" ht="15" x14ac:dyDescent="0.35">
      <c r="A40" s="99"/>
      <c r="B40" s="10"/>
      <c r="C40" s="11"/>
      <c r="D40" s="11"/>
      <c r="E40" s="12"/>
      <c r="F40" s="13" t="s">
        <v>48</v>
      </c>
      <c r="G40" s="11">
        <v>1</v>
      </c>
      <c r="H40" s="44">
        <v>0.05</v>
      </c>
      <c r="I40" s="11">
        <v>170</v>
      </c>
      <c r="J40" s="15">
        <f t="shared" si="2"/>
        <v>8.5</v>
      </c>
      <c r="K40" s="16"/>
      <c r="L40" s="16"/>
      <c r="M40" s="15"/>
      <c r="N40" s="15"/>
      <c r="O40" s="17"/>
    </row>
    <row r="41" spans="1:15" ht="16" thickBot="1" x14ac:dyDescent="0.4">
      <c r="A41" s="99"/>
      <c r="B41" s="19"/>
      <c r="C41" s="20"/>
      <c r="D41" s="20"/>
      <c r="E41" s="21"/>
      <c r="F41" s="22"/>
      <c r="G41" s="22"/>
      <c r="H41" s="23"/>
      <c r="I41" s="20"/>
      <c r="J41" s="24"/>
      <c r="K41" s="21"/>
      <c r="L41" s="21"/>
      <c r="M41" s="21"/>
      <c r="N41" s="25"/>
      <c r="O41" s="26"/>
    </row>
    <row r="42" spans="1:15" ht="16" thickBot="1" x14ac:dyDescent="0.4">
      <c r="A42" s="99"/>
      <c r="B42" s="27"/>
      <c r="C42" s="28"/>
      <c r="D42" s="28"/>
      <c r="E42" s="29">
        <f>SUM(E34:E41)</f>
        <v>7.23</v>
      </c>
      <c r="F42" s="28"/>
      <c r="G42" s="28">
        <f>SUM(G34:G41)</f>
        <v>169</v>
      </c>
      <c r="H42" s="29">
        <f>SUM(H34:H41)</f>
        <v>3.3499999999999996</v>
      </c>
      <c r="I42" s="28"/>
      <c r="J42" s="30">
        <f t="shared" ref="J42:O42" si="3">SUM(J34:J41)</f>
        <v>36208.1</v>
      </c>
      <c r="K42" s="29">
        <f t="shared" si="3"/>
        <v>6.5600000000000005</v>
      </c>
      <c r="L42" s="29">
        <f t="shared" si="3"/>
        <v>4.92</v>
      </c>
      <c r="M42" s="30">
        <f t="shared" si="3"/>
        <v>72816</v>
      </c>
      <c r="N42" s="31">
        <f t="shared" si="3"/>
        <v>7000</v>
      </c>
      <c r="O42" s="32">
        <f t="shared" si="3"/>
        <v>116024.1</v>
      </c>
    </row>
  </sheetData>
  <mergeCells count="33">
    <mergeCell ref="O32:O33"/>
    <mergeCell ref="F32:J32"/>
    <mergeCell ref="K32:K33"/>
    <mergeCell ref="L32:L33"/>
    <mergeCell ref="M32:M33"/>
    <mergeCell ref="N32:N33"/>
    <mergeCell ref="A32:A42"/>
    <mergeCell ref="B32:B33"/>
    <mergeCell ref="C32:C33"/>
    <mergeCell ref="D32:D33"/>
    <mergeCell ref="E32:E33"/>
    <mergeCell ref="O19:O20"/>
    <mergeCell ref="F19:J19"/>
    <mergeCell ref="K19:K20"/>
    <mergeCell ref="L19:L20"/>
    <mergeCell ref="M19:M20"/>
    <mergeCell ref="N19:N20"/>
    <mergeCell ref="A19:A30"/>
    <mergeCell ref="B19:B20"/>
    <mergeCell ref="C19:C20"/>
    <mergeCell ref="D19:D20"/>
    <mergeCell ref="E19:E20"/>
    <mergeCell ref="K2:K3"/>
    <mergeCell ref="L2:L3"/>
    <mergeCell ref="M2:M3"/>
    <mergeCell ref="N2:N3"/>
    <mergeCell ref="O2:O3"/>
    <mergeCell ref="F2:J2"/>
    <mergeCell ref="A2:A17"/>
    <mergeCell ref="B2:B3"/>
    <mergeCell ref="C2:C3"/>
    <mergeCell ref="D2:D3"/>
    <mergeCell ref="E2:E3"/>
  </mergeCells>
  <pageMargins left="0.7" right="0.7" top="0.75" bottom="0.75" header="0.3" footer="0.3"/>
  <pageSetup paperSize="9" scale="76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</vt:lpstr>
      <vt:lpstr>RHEEA</vt:lpstr>
      <vt:lpstr>UM</vt:lpstr>
      <vt:lpstr>BEMAL</vt:lpstr>
      <vt:lpstr>sattar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Mishra</dc:creator>
  <cp:lastModifiedBy>Dell</cp:lastModifiedBy>
  <cp:lastPrinted>2026-08-19T02:03:25Z</cp:lastPrinted>
  <dcterms:created xsi:type="dcterms:W3CDTF">2015-06-05T18:17:20Z</dcterms:created>
  <dcterms:modified xsi:type="dcterms:W3CDTF">2026-08-19T15:33:02Z</dcterms:modified>
</cp:coreProperties>
</file>